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115" activeTab="0"/>
  </bookViews>
  <sheets>
    <sheet name="Menu" sheetId="1" r:id="rId1"/>
    <sheet name="Stamdata" sheetId="2" r:id="rId2"/>
    <sheet name="Saldobalance_Input" sheetId="3" r:id="rId3"/>
    <sheet name="Tekst_input" sheetId="4" r:id="rId4"/>
    <sheet name="Skattemæssige opgørelser" sheetId="5" r:id="rId5"/>
    <sheet name="Åfors+indh" sheetId="6" r:id="rId6"/>
    <sheet name="Åpåt" sheetId="7" r:id="rId7"/>
    <sheet name="Årpåt" sheetId="8" r:id="rId8"/>
    <sheet name="Virkopl" sheetId="9" r:id="rId9"/>
    <sheet name="Åårsb" sheetId="10" r:id="rId10"/>
    <sheet name="Årprak" sheetId="11" r:id="rId11"/>
    <sheet name="Åregn" sheetId="12" r:id="rId12"/>
    <sheet name="Ånoter" sheetId="13" r:id="rId13"/>
    <sheet name="Ånoter2" sheetId="14" r:id="rId14"/>
    <sheet name="Skatteopgørelse" sheetId="15" r:id="rId15"/>
    <sheet name="Programdata" sheetId="16" r:id="rId16"/>
  </sheets>
  <definedNames>
    <definedName name="aktiviteter">'Tekst_input'!$C$8</definedName>
    <definedName name="am">'Programdata'!$F$15</definedName>
    <definedName name="aps">'Stamdata'!$I$47</definedName>
    <definedName name="begivenheder">'Tekst_input'!$C$11</definedName>
    <definedName name="begivenhederudløb">'Tekst_input'!$C$18</definedName>
    <definedName name="best1">'Stamdata'!$C$52</definedName>
    <definedName name="best2">'Stamdata'!$C$53</definedName>
    <definedName name="best3">'Stamdata'!$C$54</definedName>
    <definedName name="best4">'Stamdata'!$C$55</definedName>
    <definedName name="best5">'Stamdata'!$C$56</definedName>
    <definedName name="cvr">'Stamdata'!$C$40</definedName>
    <definedName name="dirk">'Stamdata'!$C$58</definedName>
    <definedName name="dirk1">'Stamdata'!$C$58</definedName>
    <definedName name="drr">'Tekst_input'!$F$14</definedName>
    <definedName name="drrtal">'Tekst_input'!$C$14</definedName>
    <definedName name="EK">'Saldobalance_Input'!$B$147</definedName>
    <definedName name="evt1">'Tekst_input'!$C$113</definedName>
    <definedName name="evt2">'Tekst_input'!$C$115</definedName>
    <definedName name="fadr">'Stamdata'!$C$33</definedName>
    <definedName name="fby">'Stamdata'!$C$35</definedName>
    <definedName name="fejl">'Programdata'!$F$7</definedName>
    <definedName name="ffax">'Stamdata'!$C$37</definedName>
    <definedName name="fmail">'Stamdata'!$C$39</definedName>
    <definedName name="fnavn1">'Stamdata'!$C$31</definedName>
    <definedName name="fnavn1tæl">'Stamdata'!$G$31</definedName>
    <definedName name="fnavn2">'Stamdata'!$C$32</definedName>
    <definedName name="fnavn2tæl">'Stamdata'!$G$32</definedName>
    <definedName name="formand">'Stamdata'!$C$51</definedName>
    <definedName name="fpost">'Stamdata'!$C$34</definedName>
    <definedName name="frevi">'Stamdata'!$C$60</definedName>
    <definedName name="frevi2">'Stamdata'!$C$61</definedName>
    <definedName name="freviadr">'Stamdata'!$C$62</definedName>
    <definedName name="frevipost">'Stamdata'!$C$63</definedName>
    <definedName name="ftlf">'Stamdata'!$C$36</definedName>
    <definedName name="fwww">'Stamdata'!$C$38</definedName>
    <definedName name="garb0">'Stamdata'!$C$24</definedName>
    <definedName name="garb1">'Stamdata'!$C$23</definedName>
    <definedName name="gdato">'Stamdata'!$C$68</definedName>
    <definedName name="generelt">'Tekst_input'!$C$31</definedName>
    <definedName name="hh">#REF!</definedName>
    <definedName name="hævet">'Skattemæssige opgørelser'!$G$65</definedName>
    <definedName name="hævetops">'Skattemæssige opgørelser'!$E$118</definedName>
    <definedName name="igang">'Saldobalance_Input'!$B$12</definedName>
    <definedName name="indehaver">'Stamdata'!$C$43</definedName>
    <definedName name="indskud">'Skattemæssige opgørelser'!$G$66</definedName>
    <definedName name="input">'Programdata'!$F$6</definedName>
    <definedName name="ititel">'Stamdata'!$C$44</definedName>
    <definedName name="kap">'Programdata'!$F$16</definedName>
    <definedName name="kom">'Stamdata'!$C$41</definedName>
    <definedName name="ksats">'Programdata'!$F$14</definedName>
    <definedName name="medtag1">'Tekst_input'!$N$11</definedName>
    <definedName name="medtag2">'Tekst_input'!$N$18</definedName>
    <definedName name="Noms1">'Saldobalance_Input'!$B$9</definedName>
    <definedName name="Noms2">'Saldobalance_Input'!$B$10</definedName>
    <definedName name="Noms3">'Saldobalance_Input'!$B$11</definedName>
    <definedName name="note1">'Tekst_input'!$N$112</definedName>
    <definedName name="note2">'Tekst_input'!$N$113</definedName>
    <definedName name="note3">'Tekst_input'!$N$115</definedName>
    <definedName name="note4">'Tekst_input'!$N$117</definedName>
    <definedName name="note5">'Tekst_input'!$N$118</definedName>
    <definedName name="note6">'Tekst_input'!$N$120</definedName>
    <definedName name="Ohævet">'Skattemæssige opgørelser'!$G$149</definedName>
    <definedName name="Ohævetops">'Skattemæssige opgørelser'!$E$174</definedName>
    <definedName name="ordning">'Skattemæssige opgørelser'!$L$3</definedName>
    <definedName name="overskud">'Saldobalance_Input'!$D$92</definedName>
    <definedName name="overskud0">'Saldobalance_Input'!$G$92</definedName>
    <definedName name="pant1">'Tekst_input'!$C$118</definedName>
    <definedName name="pant2">'Tekst_input'!$C$120</definedName>
    <definedName name="pension">'Skattemæssige opgørelser'!$G$144</definedName>
    <definedName name="pension2">'Skattemæssige opgørelser'!$G$145</definedName>
    <definedName name="PI">'Skattemæssige opgørelser'!$G$153</definedName>
    <definedName name="ppn">'Skattemæssige opgørelser'!$G$143</definedName>
    <definedName name="primo0">'Stamdata'!$F$8</definedName>
    <definedName name="primo1">'Stamdata'!$F$7</definedName>
    <definedName name="primo2">'Stamdata'!$F$9</definedName>
    <definedName name="primodato">'Stamdata'!$C$20</definedName>
    <definedName name="primodatot">'Stamdata'!$D$20</definedName>
    <definedName name="r_aaaa">#REF!</definedName>
    <definedName name="r_aaaa_0">#REF!</definedName>
    <definedName name="r_aaaam1">#REF!</definedName>
    <definedName name="r_aaaap1">#REF!</definedName>
    <definedName name="revinavn">'Stamdata'!$C$65</definedName>
    <definedName name="revititel">'Stamdata'!$C$66</definedName>
    <definedName name="rnr">'Stamdata'!$C$10</definedName>
    <definedName name="rperiode">'Stamdata'!$C$12</definedName>
    <definedName name="rprak1">'Tekst_input'!$N$26</definedName>
    <definedName name="rprak10">'Tekst_input'!$N$48</definedName>
    <definedName name="rprak11">'Tekst_input'!$N$49</definedName>
    <definedName name="rprak12">'Tekst_input'!$N$51</definedName>
    <definedName name="rprak13">'Tekst_input'!$N$52</definedName>
    <definedName name="rprak14">'Tekst_input'!$N$54</definedName>
    <definedName name="rprak15">'Tekst_input'!$N$55</definedName>
    <definedName name="rprak16">'Tekst_input'!$N$57</definedName>
    <definedName name="rprak17">'Tekst_input'!$N$58</definedName>
    <definedName name="rprak18">'Tekst_input'!$N$60</definedName>
    <definedName name="rprak19">'Tekst_input'!$N$61</definedName>
    <definedName name="rprak2">'Tekst_input'!$N$30</definedName>
    <definedName name="rprak20">'Tekst_input'!$N$63</definedName>
    <definedName name="rprak21">'Tekst_input'!$N$64</definedName>
    <definedName name="rprak22">'Tekst_input'!$N$66</definedName>
    <definedName name="rprak23">'Tekst_input'!$N$67</definedName>
    <definedName name="rprak24">'Tekst_input'!$N$69</definedName>
    <definedName name="rprak25">'Tekst_input'!$N$70</definedName>
    <definedName name="rprak26">'Tekst_input'!$N$74</definedName>
    <definedName name="rprak27">'Tekst_input'!$N$75</definedName>
    <definedName name="rprak28">'Tekst_input'!$N$77</definedName>
    <definedName name="rprak29">'Tekst_input'!$N$79</definedName>
    <definedName name="rprak3">'Tekst_input'!$N$31</definedName>
    <definedName name="rprak30">'Tekst_input'!$N$80</definedName>
    <definedName name="rprak31">'Tekst_input'!$N$82</definedName>
    <definedName name="rprak32">'Tekst_input'!$N$84</definedName>
    <definedName name="rprak33">'Tekst_input'!$N$86</definedName>
    <definedName name="rprak34">'Tekst_input'!$N$88</definedName>
    <definedName name="rprak35">'Tekst_input'!$N$90</definedName>
    <definedName name="rprak36">'Tekst_input'!$N$92</definedName>
    <definedName name="rprak37">'Tekst_input'!$N$94</definedName>
    <definedName name="rprak38">'Tekst_input'!$N$95</definedName>
    <definedName name="rprak39">'Tekst_input'!$N$97</definedName>
    <definedName name="rprak4">'Tekst_input'!$N$33</definedName>
    <definedName name="rprak40">'Tekst_input'!$N$98</definedName>
    <definedName name="rprak41">'Tekst_input'!$N$100</definedName>
    <definedName name="rprak42">'Tekst_input'!$N$101</definedName>
    <definedName name="rprak43">'Tekst_input'!$N$103</definedName>
    <definedName name="rprak44">'Tekst_input'!$N$104</definedName>
    <definedName name="rprak45">'Tekst_input'!$N$106</definedName>
    <definedName name="rprak46">'Tekst_input'!$N$107</definedName>
    <definedName name="rprak5">'Tekst_input'!$N$34</definedName>
    <definedName name="rprak6">'Tekst_input'!$N$37</definedName>
    <definedName name="rprak7">'Tekst_input'!$N$38</definedName>
    <definedName name="rprak8">'Tekst_input'!$N$45</definedName>
    <definedName name="rprak9">'Tekst_input'!$N$46</definedName>
    <definedName name="rprakgenerelt">'Tekst_input'!$N$29</definedName>
    <definedName name="rpraklev">'Tekst_input'!$N$89</definedName>
    <definedName name="ruby">'Stamdata'!$C$17</definedName>
    <definedName name="raa0">'Stamdata'!$C$8</definedName>
    <definedName name="raa1">'Stamdata'!$C$7</definedName>
    <definedName name="raa2">'Stamdata'!$C$9</definedName>
    <definedName name="sidebal">'Åregn'!$B$36</definedName>
    <definedName name="sidenote4">'Ånoter'!$B$121</definedName>
    <definedName name="sidenoter">'Ånoter'!$B$2</definedName>
    <definedName name="sidenotetekst">'Ånoter2'!$B$2</definedName>
    <definedName name="sideregn">'Åregn'!$B$2</definedName>
    <definedName name="sideregn2">'Åregn'!$B$61</definedName>
    <definedName name="sideskat">'Skatteopgørelse'!$B$2</definedName>
    <definedName name="sidevirkopl">'Virkopl'!$B$2</definedName>
    <definedName name="sideåpåt">'Åpåt'!$B$2</definedName>
    <definedName name="sideårprak">'Årprak'!$B$2</definedName>
    <definedName name="sideårprak2">'Årprak'!$B$27</definedName>
    <definedName name="sideårprak3">'Årprak'!$B$66</definedName>
    <definedName name="sideårpåt">'Årpåt'!$B$2</definedName>
    <definedName name="sideåårsb" localSheetId="3">'Tekst_input'!#REF!</definedName>
    <definedName name="sideåårsb">'Åårsb'!$B$2</definedName>
    <definedName name="skatalm">'Tekst_input'!$C$67</definedName>
    <definedName name="skataps">'Tekst_input'!$C$70</definedName>
    <definedName name="skatkr">'Skattemæssige opgørelser'!$G$212</definedName>
    <definedName name="sskat">'Programdata'!$F$13</definedName>
    <definedName name="start">'Stamdata'!$C$26</definedName>
    <definedName name="uby">'Stamdata'!$C$16</definedName>
    <definedName name="udato">'Stamdata'!$C$15</definedName>
    <definedName name="_xlnm.Print_Area" localSheetId="0">'Menu'!$C$3:$H$20</definedName>
    <definedName name="_xlnm.Print_Area" localSheetId="2">'Saldobalance_Input'!$A$1:$I$188</definedName>
    <definedName name="_xlnm.Print_Area" localSheetId="4">'Skattemæssige opgørelser'!$A$1:$K$220</definedName>
    <definedName name="_xlnm.Print_Area" localSheetId="14">'Skatteopgørelse'!$B$2:$O$124</definedName>
    <definedName name="_xlnm.Print_Area" localSheetId="1">'Stamdata'!$A$1:$J$77</definedName>
    <definedName name="_xlnm.Print_Area" localSheetId="3">'Tekst_input'!$B$2:$O$121</definedName>
    <definedName name="_xlnm.Print_Area" localSheetId="8">'Virkopl'!$B$2:$O$38</definedName>
    <definedName name="_xlnm.Print_Area" localSheetId="5">'Åfors+indh'!$B$2:$L$111</definedName>
    <definedName name="_xlnm.Print_Area" localSheetId="12">'Ånoter'!$B$2:$O$158</definedName>
    <definedName name="_xlnm.Print_Area" localSheetId="13">'Ånoter2'!$B$2:$B$29</definedName>
    <definedName name="_xlnm.Print_Area" localSheetId="6">'Åpåt'!$B$2:$B$22</definedName>
    <definedName name="_xlnm.Print_Area" localSheetId="11">'Åregn'!$B$2:$O$95</definedName>
    <definedName name="_xlnm.Print_Area" localSheetId="10">'Årprak'!$B$2:$B$108</definedName>
    <definedName name="_xlnm.Print_Area" localSheetId="7">'Årpåt'!$B$2:$B$30</definedName>
    <definedName name="_xlnm.Print_Area" localSheetId="9">'Åårsb'!$B$2:$B$21</definedName>
    <definedName name="ultimo0">'Stamdata'!$G$8</definedName>
    <definedName name="ultimo1">'Stamdata'!$G$7</definedName>
    <definedName name="ultimo2">'Stamdata'!$G$9</definedName>
    <definedName name="ultimodato">'Stamdata'!$C$21</definedName>
    <definedName name="ultimodatot">'Stamdata'!$D$21</definedName>
    <definedName name="underskud">'Saldobalance_Input'!$C$92</definedName>
    <definedName name="underskud0">'Saldobalance_Input'!$F$92</definedName>
  </definedNames>
  <calcPr fullCalcOnLoad="1"/>
</workbook>
</file>

<file path=xl/sharedStrings.xml><?xml version="1.0" encoding="utf-8"?>
<sst xmlns="http://schemas.openxmlformats.org/spreadsheetml/2006/main" count="697" uniqueCount="466">
  <si>
    <t>STAMDATA</t>
  </si>
  <si>
    <t>ÅRSTAL, DATOER, MV.</t>
  </si>
  <si>
    <t>Regnskabsår</t>
  </si>
  <si>
    <t>Forrige regnskabsår</t>
  </si>
  <si>
    <t>Næste regnskabsår</t>
  </si>
  <si>
    <t>Regnskabsår nr.</t>
  </si>
  <si>
    <t>Resultatopg. for perioden</t>
  </si>
  <si>
    <t>Balancedato</t>
  </si>
  <si>
    <t>Underskriftsdato</t>
  </si>
  <si>
    <t>Underskriftsby kunde</t>
  </si>
  <si>
    <t>Underskriftsby revisor</t>
  </si>
  <si>
    <t>Primodato</t>
  </si>
  <si>
    <t>Ultimodato</t>
  </si>
  <si>
    <t>Gns. Antal ansatte i år</t>
  </si>
  <si>
    <t>Gns. Antal ansatte sidste år</t>
  </si>
  <si>
    <t>Årets resultat</t>
  </si>
  <si>
    <t xml:space="preserve">Firmanavn til fors. </t>
  </si>
  <si>
    <t>Firmanavn</t>
  </si>
  <si>
    <t>Adresse 1</t>
  </si>
  <si>
    <t>Telefon</t>
  </si>
  <si>
    <t>Telefax</t>
  </si>
  <si>
    <t>Hjemmeside</t>
  </si>
  <si>
    <t>E-mail</t>
  </si>
  <si>
    <t>CVR nr.</t>
  </si>
  <si>
    <t>Hjemstedskommune</t>
  </si>
  <si>
    <t>Bestyrelse 1</t>
  </si>
  <si>
    <t>Bestyrelse 2</t>
  </si>
  <si>
    <t>Bestyrelse 3</t>
  </si>
  <si>
    <t>Bestyrelse 4</t>
  </si>
  <si>
    <t>Direktør 1</t>
  </si>
  <si>
    <t>Revisor</t>
  </si>
  <si>
    <t>Statsautoriseret Revisionspartnerselskab</t>
  </si>
  <si>
    <t>MANUELLE NOTER</t>
  </si>
  <si>
    <t>År</t>
  </si>
  <si>
    <t>Fra dato</t>
  </si>
  <si>
    <t>Til dato</t>
  </si>
  <si>
    <t>31/12 2004</t>
  </si>
  <si>
    <t>31. december 2004</t>
  </si>
  <si>
    <t>31/12</t>
  </si>
  <si>
    <t>1. januar - 31. december</t>
  </si>
  <si>
    <t>31. december</t>
  </si>
  <si>
    <t>5. april 2005</t>
  </si>
  <si>
    <t>Tåstrup</t>
  </si>
  <si>
    <t>Til Dato</t>
  </si>
  <si>
    <t>1. januar</t>
  </si>
  <si>
    <t>dd/mm åååå</t>
  </si>
  <si>
    <t>xx. xxxxxxx åååå</t>
  </si>
  <si>
    <t>1/1</t>
  </si>
  <si>
    <t>1/1 2004</t>
  </si>
  <si>
    <t>1. januar 2004</t>
  </si>
  <si>
    <t>Revisornavn</t>
  </si>
  <si>
    <t>Revisor titel</t>
  </si>
  <si>
    <t>Jens Jensen</t>
  </si>
  <si>
    <t>statsautoriseret revisor</t>
  </si>
  <si>
    <t>Indehaver</t>
  </si>
  <si>
    <t>Titel</t>
  </si>
  <si>
    <t>Autoriseret El-installatør</t>
  </si>
  <si>
    <t>Postnummer</t>
  </si>
  <si>
    <t>By</t>
  </si>
  <si>
    <t>Lystoftevænge 230</t>
  </si>
  <si>
    <t>pVKa</t>
  </si>
  <si>
    <t>Torvet 24</t>
  </si>
  <si>
    <t>2222 Adminilunden</t>
  </si>
  <si>
    <t>INDHOLDSFORTEGNELSE</t>
  </si>
  <si>
    <t>Bestyrelse</t>
  </si>
  <si>
    <t>Direktion</t>
  </si>
  <si>
    <t>Generalforsamling</t>
  </si>
  <si>
    <t>REVISIONSPÅTEGNING</t>
  </si>
  <si>
    <t>Nettoomsætning</t>
  </si>
  <si>
    <t>Immaterielle anlægsaktiver</t>
  </si>
  <si>
    <t>Materielle anlægsaktiver</t>
  </si>
  <si>
    <t>Bygninger</t>
  </si>
  <si>
    <t>Varebeholdninger</t>
  </si>
  <si>
    <t>Værdipapirer</t>
  </si>
  <si>
    <t>Aktiver</t>
  </si>
  <si>
    <t>Andre tilgodehavender</t>
  </si>
  <si>
    <t>Råvarer og hjælpematerialer</t>
  </si>
  <si>
    <t>Forudbetalte omkostninger</t>
  </si>
  <si>
    <t>Likvide beholdninger</t>
  </si>
  <si>
    <t>AKTIVER I ALT</t>
  </si>
  <si>
    <t>Passiver</t>
  </si>
  <si>
    <t>Prioritetsgæld</t>
  </si>
  <si>
    <t>PASSIVER I ALT</t>
  </si>
  <si>
    <t>Årets afskrivninger</t>
  </si>
  <si>
    <t>Langfristet gæld</t>
  </si>
  <si>
    <t>Kortfristet gæld</t>
  </si>
  <si>
    <t>Energirup</t>
  </si>
  <si>
    <t>99 230 480</t>
  </si>
  <si>
    <t>99 480 230</t>
  </si>
  <si>
    <t>www.elstroem.dk</t>
  </si>
  <si>
    <t>mail@elstroem.dk</t>
  </si>
  <si>
    <t>Fejlmeddelelse ved manglende data</t>
  </si>
  <si>
    <t>Mangler indtastning</t>
  </si>
  <si>
    <t>Fejl ved program</t>
  </si>
  <si>
    <t>Fejlkode 15</t>
  </si>
  <si>
    <t>Telefon:</t>
  </si>
  <si>
    <t>Telefax:</t>
  </si>
  <si>
    <t>Hjemmeside:</t>
  </si>
  <si>
    <t>E-mail:</t>
  </si>
  <si>
    <t>CVR-nr.:</t>
  </si>
  <si>
    <t>Etableret/stiftet</t>
  </si>
  <si>
    <t>Hjemsted:</t>
  </si>
  <si>
    <t>Regnskabsår:</t>
  </si>
  <si>
    <t>1. april 2005, kl. 12.00</t>
  </si>
  <si>
    <t>Variable tekster</t>
  </si>
  <si>
    <t>Generel</t>
  </si>
  <si>
    <t>PSL</t>
  </si>
  <si>
    <t>VSO</t>
  </si>
  <si>
    <t>KAO</t>
  </si>
  <si>
    <t>ApS</t>
  </si>
  <si>
    <t>Virksomhedsform</t>
  </si>
  <si>
    <t>virksomhed</t>
  </si>
  <si>
    <t>selskab</t>
  </si>
  <si>
    <t>Påtegning</t>
  </si>
  <si>
    <t>Indehaverens påtegning</t>
  </si>
  <si>
    <t>Ledelsespåtegning</t>
  </si>
  <si>
    <t>Ledelsesberetning</t>
  </si>
  <si>
    <t xml:space="preserve">
</t>
  </si>
  <si>
    <r>
      <t>pVKa</t>
    </r>
    <r>
      <rPr>
        <b/>
        <i/>
        <sz val="12"/>
        <color indexed="9"/>
        <rFont val="Arial"/>
        <family val="2"/>
      </rPr>
      <t xml:space="preserve">
</t>
    </r>
    <r>
      <rPr>
        <b/>
        <i/>
        <sz val="8"/>
        <color indexed="43"/>
        <rFont val="Arial"/>
        <family val="2"/>
      </rPr>
      <t>Version 1</t>
    </r>
  </si>
  <si>
    <t>Revisionspåtegning</t>
  </si>
  <si>
    <t>Påtegninger</t>
  </si>
  <si>
    <t>Resultatopgørelse</t>
  </si>
  <si>
    <t>Balance</t>
  </si>
  <si>
    <t>Noter</t>
  </si>
  <si>
    <t>RESULTATPOSTER</t>
  </si>
  <si>
    <t>BALANCEPOSTER</t>
  </si>
  <si>
    <t>Debet</t>
  </si>
  <si>
    <t>Kredit</t>
  </si>
  <si>
    <t>Nettoomsætning segment 1</t>
  </si>
  <si>
    <t>Nettoomsætning i alt</t>
  </si>
  <si>
    <t>Bruttoresultat</t>
  </si>
  <si>
    <t>Vareforbrug</t>
  </si>
  <si>
    <t>Handelsvarer</t>
  </si>
  <si>
    <t>Ekstern assistance</t>
  </si>
  <si>
    <t>Vareforbrug i alt</t>
  </si>
  <si>
    <t>Distributionsomkostninger</t>
  </si>
  <si>
    <t>Salgsannoncer og reklame</t>
  </si>
  <si>
    <t>Diverse reklameartikler</t>
  </si>
  <si>
    <t>Repræsentation</t>
  </si>
  <si>
    <t>Brændstof, biler</t>
  </si>
  <si>
    <t>Reparation og vedligeholdelse, biler</t>
  </si>
  <si>
    <t>Forsikring og vægtafgift, biler</t>
  </si>
  <si>
    <t>Realiserede tab på tilgodehavender</t>
  </si>
  <si>
    <t>Hensat til tab på tilgodehavender</t>
  </si>
  <si>
    <t>Fragt</t>
  </si>
  <si>
    <t>Distributionsomkostninger i alt</t>
  </si>
  <si>
    <t>Regulering af igangværende arbejder for fremmed regning</t>
  </si>
  <si>
    <t>Administrationsomkostninger</t>
  </si>
  <si>
    <t>Telefon og telefax</t>
  </si>
  <si>
    <t>Porto og gebyrer</t>
  </si>
  <si>
    <t>Edb-omkostninger</t>
  </si>
  <si>
    <t>Kontorartikler og tryksager</t>
  </si>
  <si>
    <t>Småanskaffelser</t>
  </si>
  <si>
    <t>Forsikringer</t>
  </si>
  <si>
    <t>Kontingenter, branche- og arbejdsgiverforening mv.</t>
  </si>
  <si>
    <t>Regnskabsmæssig assistance</t>
  </si>
  <si>
    <t>Juridisk assistance</t>
  </si>
  <si>
    <t>Stillingsannoncer</t>
  </si>
  <si>
    <t>Administrationsomkostninger i alt</t>
  </si>
  <si>
    <t>Lokaleomkostninger</t>
  </si>
  <si>
    <t>Reparation og vedligeholdelse</t>
  </si>
  <si>
    <t>Varme</t>
  </si>
  <si>
    <t>Skatter og afgifter</t>
  </si>
  <si>
    <t>Rengøring</t>
  </si>
  <si>
    <t>Diverse</t>
  </si>
  <si>
    <t>Lokaleomkostninger i alt</t>
  </si>
  <si>
    <t>Personaleomkostninger</t>
  </si>
  <si>
    <t>Lønninger</t>
  </si>
  <si>
    <t>Dagpenge</t>
  </si>
  <si>
    <t>Lønrefusion</t>
  </si>
  <si>
    <t>Sociale bidrag mv.</t>
  </si>
  <si>
    <t>Arbejdsbeklædning</t>
  </si>
  <si>
    <t>Kursusomkostninger</t>
  </si>
  <si>
    <t>Personaleomkostninger i øvrigt</t>
  </si>
  <si>
    <t>Personaleomkostninger i alt</t>
  </si>
  <si>
    <t>Andre driftsomkostninger</t>
  </si>
  <si>
    <t>Tab ved salg af anlægsaktiver</t>
  </si>
  <si>
    <t>Andre driftsomkostninger i alt</t>
  </si>
  <si>
    <t>Afskrivninger på anlægsaktiver</t>
  </si>
  <si>
    <t>Biler</t>
  </si>
  <si>
    <t>Øvrige driftsmidler og inventar</t>
  </si>
  <si>
    <t>Afskrivninger på anlægsaktiver i alt</t>
  </si>
  <si>
    <t>Finansielle indtægter</t>
  </si>
  <si>
    <t>Anvendt regnskabspraksis</t>
  </si>
  <si>
    <t>Finansielle indtægter i alt</t>
  </si>
  <si>
    <t>Finansielle omkostninger</t>
  </si>
  <si>
    <t>Kassekredit</t>
  </si>
  <si>
    <t>Modtagne kontantrabatter</t>
  </si>
  <si>
    <t>Afgivne kontantrabatter</t>
  </si>
  <si>
    <t>Gebyrer m.v.</t>
  </si>
  <si>
    <t>Finansielle omkostninger i alt</t>
  </si>
  <si>
    <t>AKTIVER</t>
  </si>
  <si>
    <t>Tilgang i året</t>
  </si>
  <si>
    <t>Afgang i året</t>
  </si>
  <si>
    <t>Årets tilbageførte afskrivninger</t>
  </si>
  <si>
    <t>Tilgodehavender fra salg</t>
  </si>
  <si>
    <t>Nedskrivning til imødegåelse af tab</t>
  </si>
  <si>
    <t>Kasse</t>
  </si>
  <si>
    <t>Bank 1</t>
  </si>
  <si>
    <t>Bank 2</t>
  </si>
  <si>
    <t>Bank 3</t>
  </si>
  <si>
    <t>Omsætningsaktiver</t>
  </si>
  <si>
    <t>Immaterielle anlægsaktiver i alt</t>
  </si>
  <si>
    <t>Materielle anlægsaktiver i alt</t>
  </si>
  <si>
    <t>Omsætningsaktiver i alt</t>
  </si>
  <si>
    <t>Kortfristet del af prioritetsgæld</t>
  </si>
  <si>
    <t>Prioritetsgæld (Kontantlån)</t>
  </si>
  <si>
    <t>Prioritetsgæld (Obligationslån)</t>
  </si>
  <si>
    <t>Leverandørgæld</t>
  </si>
  <si>
    <t>Kassekredit 1</t>
  </si>
  <si>
    <t>Kassekredit 2</t>
  </si>
  <si>
    <t>Kassekredit 3</t>
  </si>
  <si>
    <t>A-skat m.m.</t>
  </si>
  <si>
    <t>Feriepenge</t>
  </si>
  <si>
    <t>Forudbetalinger fra kunder</t>
  </si>
  <si>
    <t>Årets salgsmoms (udgående moms)</t>
  </si>
  <si>
    <t>Årets købsmoms (indgående moms)</t>
  </si>
  <si>
    <t>Årets øvrige afgifter (eks. elafgift)</t>
  </si>
  <si>
    <t>Afregnet moms</t>
  </si>
  <si>
    <t>Skattetillæg</t>
  </si>
  <si>
    <t>Skyldig arbejdsløn</t>
  </si>
  <si>
    <t>Øvrige skyldige omkostninger</t>
  </si>
  <si>
    <t>Skyldige renter</t>
  </si>
  <si>
    <t>Ingen af virksomhedens aktiver er pantsat eller behæftet med ejendomsforbehold udover de i årsrapporten anførte, og der påhviler ikke virksomheden eventualforpligtelser, som ikke fremgår af årsrapporten. De private eventualforpligtelser og pantsætninger indgår ikke i årsrapporten.</t>
  </si>
  <si>
    <t>Formand</t>
  </si>
  <si>
    <t>Årsrapporten er aflagt i overensstemmelse med årsregnskabsloven.</t>
  </si>
  <si>
    <t>Vi anser den valgte regnskabspraksis for hensigtsmæssig, således at årsrapporten giver et retvisende billede af selskabets aktiver og passiver, finansielle stilling samt resultatet.</t>
  </si>
  <si>
    <t>Årsrapporten er aflagt i overensstemmelse med årsregnskabsloven. Jeg anser den valgte regnskabspraksis for hensigtsmæssig, således at årsrapporten giver et retvisende billede af virksomhedens aktiver og passiver, finansielle stilling samt resultatet.</t>
  </si>
  <si>
    <t>Årsrapporten indstilles til generalforsamlingens godkendelse.</t>
  </si>
  <si>
    <t>Selskabets ledelse har ansvaret for årsrapporten. Vort ansvar er på grundlag af vores revision at afgive en konklusion om årsrapporten.</t>
  </si>
  <si>
    <t>Den udførte revision</t>
  </si>
  <si>
    <t>Vi har udført vor revision i overensstemmelse med danske revisionsstandarder. Disse standarder kræver, at vi tilrettelægger og udfører revisionen med henblik på at opnå høj grad af sikkerhed for, om årsrapporten er retvisende i alle væsentlige henseender. Ved en revision udføres på testbasis undersøgelse af beviser, der understøtter de i årsrapporten anførte beløb og oplysninger. En revision omfatter endvidere stillingtagen til den af ledelsen anvendte regnskabspraksis og til de væsentlige skøn, som ledelsen har udøvet, samt en vurdering af den samlede præsentation af årsrapporten. Det er vor opfattelse, at den udførte revision giver et tilstrækkeligt grundlag for vor konklusion.</t>
  </si>
  <si>
    <t>Konklusion</t>
  </si>
  <si>
    <t>LEDELSESBERETNING</t>
  </si>
  <si>
    <t>Aktivitet</t>
  </si>
  <si>
    <t>AKTIVITETER</t>
  </si>
  <si>
    <t>Virksomhedens aktiviteter består i at udføre elinstallationsarbejde i lokalområdet og handel med hårdehvidevarer.</t>
  </si>
  <si>
    <t>VÆSENTLIGE BEGIVENHEDER I REGNSKABSÅRET</t>
  </si>
  <si>
    <t>DET REGNSKABSMÆSSIGE RESULTAT</t>
  </si>
  <si>
    <t>er tilfredsstillende og bedre end forventet som følge af den øgede aktivitet i regnskabsåret.</t>
  </si>
  <si>
    <t>BEGIVENHEDER EFTER REGNSKABSÅRETS UDLØB</t>
  </si>
  <si>
    <t>Der er ikke efter regnskabsårets udløb indtruffet begivenheder af væsentlig betydning for virksomhedens finansielle stilling.</t>
  </si>
  <si>
    <t>Væsentlige begivenheder i regnskabsåret</t>
  </si>
  <si>
    <t>Det regnskabsmæssige resultat</t>
  </si>
  <si>
    <t>Begivenheder efter regnskabsårets udløb</t>
  </si>
  <si>
    <t>ANVENDT REGNSKABSPRAKSIS</t>
  </si>
  <si>
    <t>Årsrapporten er aflagt efter samme regnskabspraksis som foregående år.</t>
  </si>
  <si>
    <t>Generelt</t>
  </si>
  <si>
    <t>Formuefordeling</t>
  </si>
  <si>
    <t>Vederlag til indehaver</t>
  </si>
  <si>
    <t>Der er ikke i resultatopgørelsen indregnet vederlag til virksomhedens indehaver.</t>
  </si>
  <si>
    <t>Nettoomsætning indregnes i resultatopgørelsen, såfremt levering og risikoovergang til køber har fundet sted inden årets udgang. Nettoomsætning indregnes ekskl. moms og med fradrag af rabatter i forbindelse med salget.</t>
  </si>
  <si>
    <t xml:space="preserve">Råvarer og hjælpematerialer omfatter kostpris for årets solgte varer og varer medgået til produktionen i året. </t>
  </si>
  <si>
    <t xml:space="preserve">Distributionsomkostninger omfatter omkostninger, der vedrører distribution og salg, reklame- og markedsføringsomkostninger, autodrift mv. </t>
  </si>
  <si>
    <t>Virksomheden indgår i indehaverens og dennes ægtefælles formuefællesskab. Der er ikke i årsrapporten foretaget fordeling af aktiver og passiver efter bestemmelserne i ægteskabslovgivningen.</t>
  </si>
  <si>
    <t>Ekstern assistance vedrører honorarer for arbejde udført af anden elinstallatør.</t>
  </si>
  <si>
    <t>Administrationsomkostninger omfatter kontoromkostninger, forsikringer og kontingenter mv.</t>
  </si>
  <si>
    <t>Andre driftsindtægter og -omkostninger</t>
  </si>
  <si>
    <t>Andre driftsindtægter og -omkostninger indeholder regnskabsposter af sekundær karakter i forhold til virksomhedernes aktiviteter, herunder fortjeneste og tab ved salg af materielle anlægsaktiver.</t>
  </si>
  <si>
    <t>Personaleomkostninger omfatter lønninger og øvrige lønrelaterede omkostninger, herunder sygedagpenge til virksomhedens ansatte med fradrag af lønrefusioner fra det offentlige. Desuden indregnes arbejdsbeklædning og øvrige personaleomkostninger.</t>
  </si>
  <si>
    <t>Finansielle indtægter og omkostninger</t>
  </si>
  <si>
    <t>Finansielle indtægter og omkostninger indregnes i resultatopgørelsen med de beløb, der vedrører regnskabsåret. Finansielle poster omfatter renteindtægter og -omkostninger, realiserede og urealiserede kursgevinster og -tab vedrørende værdipapirer.</t>
  </si>
  <si>
    <t>Skatter</t>
  </si>
  <si>
    <t>Da virksomheden er personligt ejet, indgår det skattemæssige resultat af virksomheden i indehaverens samlede indkomst- og formueforhold vedrørende regnskabsåret. Skyldige og udskudte skatter indregnes ikke i resultatopgørelsen og balancen. Den forventede udskudte skat, beregnet på baggrund af alle midlertidige forskelle mellem regnskabsmæssig og skattemæssig værdi af virksomhedens aktiver og forpligtelser, oplyses i noterne.</t>
  </si>
  <si>
    <t>Årets skat, som består af årets aktuelle skat og forskydning i udskudt skat, indregnes i resultatopgørelsen med den del, der kan henføres til årets resultat, og direkte på egenkapitalen med den del, der kan henføres til posteringer direkte på egenkapitalen. Udskudt skat måles på grundlag af de skatteregler og skattesatser, der med balancedagens lovgivning vil være gældende, når den udskudte skat forventes udløst som aktuel skat. Ændring i udskudt skat som følge af ændringer i skattesatser indregnes i resultatopgørelsen. For indeværende år er anvendt en skattesats på 30 %.</t>
  </si>
  <si>
    <t>Skat af årets resultat</t>
  </si>
  <si>
    <t>Materielle anlægsaktiver måles til kostpris med fradrag af akkumulerede afskrivninger.</t>
  </si>
  <si>
    <t>Der foretages lineære afskrivninger baseret på aktivernes forventede brugstider efter følgende principper:</t>
  </si>
  <si>
    <t>Øvrigt driftsmateriel og inventar</t>
  </si>
  <si>
    <t>25 år</t>
  </si>
  <si>
    <t>5 år</t>
  </si>
  <si>
    <t>Aktiver med en kostpris på under 10.800 kr. pr. enhed indregnes som omkostninger i resultatopgørelsen i anskaffelsesåret.</t>
  </si>
  <si>
    <t xml:space="preserve">Fortjeneste og tab ved afhændelse af materielle anlægsaktiver opgøres som forskellen mellem salgsprisen med fradrag af salgsomkostninger og den regnskabsmæssige værdi på salgstidspunktet. Fortjeneste eller tab indregnes i resultatopgørelsen under andre driftsindtægter eller andre driftsomkostninger. </t>
  </si>
  <si>
    <t>Varebeholdninger måles til kostpris efter FIFO-metoden. I tilfælde, hvor nettorealisationsværdien er lavere end kostprisen, nedskrives til denne lavere værdi.</t>
  </si>
  <si>
    <t>Tilgodehavender</t>
  </si>
  <si>
    <t>Tilgodehavender måles til nominel værdi med fradrag af nedskrivninger til imødegåelse af forventede tab.</t>
  </si>
  <si>
    <t>Periodeafgrænsningsposter</t>
  </si>
  <si>
    <t>Periodeafgrænsningsposter indregnet under aktiver omfatter afholdte udgifter vedrørende efterfølgende regnskabsår.</t>
  </si>
  <si>
    <t>Værdipapirer, der er indregnet under omsætningsaktiver, omfatter børsnoterede obligationer, der måles til dagsværdi på balancedagen.</t>
  </si>
  <si>
    <t xml:space="preserve">Prioritetsgæld måles til den nominelle restgæld på balancedagen. </t>
  </si>
  <si>
    <t>Generelt om indregning og måling</t>
  </si>
  <si>
    <t>Erhvervet goodwill måles til kostpris med fradrag af akkumulerede afskrivninger. Goodwill afskrives lineært over den vurderede økonomiske brugstid, der er vurderet til 5 år.</t>
  </si>
  <si>
    <t>Patenter og licenser måles til kostpris med fradrag af akkumulerede afskrivninger eller til genindvindingsværdien, hvor denne er lavere. Patenter afskrives over den resterende patentperiode, og licenser afskrives over aftaleperioden, dog maksimalt 8 år.</t>
  </si>
  <si>
    <t xml:space="preserve">I resultatopgørelsen indregnes indtægter i takt med, at de indtjenes, herunder indregnes værdireguleringer af finansielle aktiver og forpligtelser. I resultatopgørelsen indregnes ligeledes alle omkostninger, herunder afskrivninger og nedskrivninger.
Aktiver indregnes i balancen, når det er sandsynligt, at fremtidige økonomiske fordele vil tilflyde selskabet, og aktivets værdi kan måles pålideligt.
Forpligtelser indregnes i balancen, når det er sandsynligt, at fremtidige økonomiske fordele vil fragå selskabet, og forpligtelsens værdi kan måles pålideligt.
Ved første indregning måles aktiver og forpligtelser til kostpris. Efterfølgende måles aktiver og forpligtelser som beskrevet for hver enkelt regnskabspost nedenfor.
Ved indregning og måling tages hensyn til forudsigelige tab og risici, der fremkommer inden årsrapporten aflægges, og som be- eller afkræfter forhold, der eksisterede på balancedagen.
</t>
  </si>
  <si>
    <t>Indskudskonto</t>
  </si>
  <si>
    <t>Overført overskud</t>
  </si>
  <si>
    <t>Hævet privat</t>
  </si>
  <si>
    <t>Mellemregning med indehaver</t>
  </si>
  <si>
    <t>3</t>
  </si>
  <si>
    <t>Alarm og sikring</t>
  </si>
  <si>
    <t>RESULTATOPGØRELSE</t>
  </si>
  <si>
    <t>Driftsresultat før afskrivninger</t>
  </si>
  <si>
    <t>Driftsresultat</t>
  </si>
  <si>
    <t>ÅRETS RESULTAT</t>
  </si>
  <si>
    <t>Grunde og bygninger</t>
  </si>
  <si>
    <t>ANLÆGSAKTIVER</t>
  </si>
  <si>
    <t>OMSÆTNINGSAKTIVER</t>
  </si>
  <si>
    <t>PASSIVER</t>
  </si>
  <si>
    <t>EGENKAPITAL</t>
  </si>
  <si>
    <t>Langfristet del af prioritetsgæld</t>
  </si>
  <si>
    <t>Langfristede gældsforpligtelser</t>
  </si>
  <si>
    <t>Kassekredit, max. 350 t.kr.</t>
  </si>
  <si>
    <t>Anden gæld</t>
  </si>
  <si>
    <t>GÆLDSFORPLIGTELSER</t>
  </si>
  <si>
    <t>Eventualposter mv.</t>
  </si>
  <si>
    <t>Pantsætninger og sikkerhedsstillelser</t>
  </si>
  <si>
    <t>Immaterielle</t>
  </si>
  <si>
    <t>Forsikring og vægtafgift</t>
  </si>
  <si>
    <t>Nattevagt</t>
  </si>
  <si>
    <t>Tab ved salg af materielle anlægsaktiver</t>
  </si>
  <si>
    <t>Gebyrer mv.</t>
  </si>
  <si>
    <t>Anskaffelsessum</t>
  </si>
  <si>
    <t>Afskrivninger</t>
  </si>
  <si>
    <t xml:space="preserve">Afskrivninger vedrørende afgang </t>
  </si>
  <si>
    <t>Restgæld</t>
  </si>
  <si>
    <t>Heraf kortfristede gældsforpligtelser</t>
  </si>
  <si>
    <t>Merværdiafgift</t>
  </si>
  <si>
    <t>Skyldig rente</t>
  </si>
  <si>
    <t>NOTER</t>
  </si>
  <si>
    <t>Nettoomsætning segment 2</t>
  </si>
  <si>
    <t>Nettoomsætning segment 3</t>
  </si>
  <si>
    <t>Ændring i nedskrivning til imødegåelse af tab på tilgodehavender</t>
  </si>
  <si>
    <t>Øvrigt drifts-materiel og inventar</t>
  </si>
  <si>
    <t xml:space="preserve">Afgang i året til kostpris </t>
  </si>
  <si>
    <t>Kontantlån</t>
  </si>
  <si>
    <t>Obligationslån</t>
  </si>
  <si>
    <t xml:space="preserve">Eventualposter mv. </t>
  </si>
  <si>
    <t xml:space="preserve">Pantsætninger og sikkerhedsstillelser  </t>
  </si>
  <si>
    <t>Til sikkerhed for gæld til realkreditinstitutter, XXX tkr., er der givet pant i grunde og bygninger, hvis regnskabsmæssige værdi pr. 31. december 2004 udgør XXX tkr.</t>
  </si>
  <si>
    <t xml:space="preserve">Til sikkerhed for gæld til realkreditinstitutter, XXX t.kr., er der givet pant i grund og bygninger, hvis regnskabsmæssige værdi pr. 31. december 2004 udgør i alt XXX t.kr.
</t>
  </si>
  <si>
    <t>Til sikkerhed for kassekredit er afgivet løsørepantebreve, XXX t.kr., i biler og i inventar mv.</t>
  </si>
  <si>
    <t>Goodwill</t>
  </si>
  <si>
    <t>A-skat mv.</t>
  </si>
  <si>
    <t>Skyldige feriepenge</t>
  </si>
  <si>
    <t>SKATTEMÆSSIGE OPGØRELSER</t>
  </si>
  <si>
    <t>Resultat før renter</t>
  </si>
  <si>
    <t>Renteindtægter</t>
  </si>
  <si>
    <t>Renteudgifter</t>
  </si>
  <si>
    <t>Resultat efter renter</t>
  </si>
  <si>
    <t>Andel 25 pct. fradrag</t>
  </si>
  <si>
    <t>Ej fradragsberettigede renter, gebyrer og bøder mv.</t>
  </si>
  <si>
    <t>Regnskabsmæssige afskrivninger:</t>
  </si>
  <si>
    <t>Skattemæssige afskrivninger:</t>
  </si>
  <si>
    <t>Andel 100 pct. fradrag</t>
  </si>
  <si>
    <t>Årets skattepligtige resultat</t>
  </si>
  <si>
    <t>Regnskabsmæssige tab på debitorer:</t>
  </si>
  <si>
    <t>Hensat primo</t>
  </si>
  <si>
    <t>Hensat ultimo</t>
  </si>
  <si>
    <t>Ikke skattepligtige indtægter:</t>
  </si>
  <si>
    <t>Skattefri aktieudbytte</t>
  </si>
  <si>
    <t>Skattefri avancer</t>
  </si>
  <si>
    <t>Andre ikke skattepligtige indtægter</t>
  </si>
  <si>
    <t>Ej fredragsberettigede øvrige udgifter</t>
  </si>
  <si>
    <t>SKATTEOPGØRELSE PSL</t>
  </si>
  <si>
    <t>Rubrik 111</t>
  </si>
  <si>
    <t>SKATTEOPGØRELSE VSO</t>
  </si>
  <si>
    <t>Værdi af fri telefon</t>
  </si>
  <si>
    <t>Rubrik 15</t>
  </si>
  <si>
    <t>Beregnet kapitalafkast</t>
  </si>
  <si>
    <t>Rubrik 153</t>
  </si>
  <si>
    <t>Rubrik 152</t>
  </si>
  <si>
    <t>Beregningsvariabler</t>
  </si>
  <si>
    <t>Selskabsskat</t>
  </si>
  <si>
    <t>Opsparet overskud</t>
  </si>
  <si>
    <t>Nørre-Alslev</t>
  </si>
  <si>
    <t>Overskud af selvstændig virksomhed</t>
  </si>
  <si>
    <t>Beløb overført til medarbejdende ægtefælle</t>
  </si>
  <si>
    <t>Resterende overskud af selvstændig virksomhed</t>
  </si>
  <si>
    <t>-</t>
  </si>
  <si>
    <t>=</t>
  </si>
  <si>
    <t>Overskud</t>
  </si>
  <si>
    <t>Opsparet</t>
  </si>
  <si>
    <t>Opsp. inkl. skat</t>
  </si>
  <si>
    <t>Kapitalafkast</t>
  </si>
  <si>
    <t>Rest. overskud</t>
  </si>
  <si>
    <t>Pers. indkomst</t>
  </si>
  <si>
    <t>Opsparet over.</t>
  </si>
  <si>
    <t>Virks.skat</t>
  </si>
  <si>
    <t>Virk.indkomst</t>
  </si>
  <si>
    <t>Hævet opsp.</t>
  </si>
  <si>
    <t>Opsparet overskud ekskl. virksomhedsskat:</t>
  </si>
  <si>
    <t>inkl. skat</t>
  </si>
  <si>
    <t>Hævet opsparet overskud inkl. virksomhedsskat:</t>
  </si>
  <si>
    <t>Resterende opsparet overskud ekskl. virksomhedsskat:</t>
  </si>
  <si>
    <t>Hævet opsparet overskud inkl. skat</t>
  </si>
  <si>
    <t>Opsparet overskud inkl. skat</t>
  </si>
  <si>
    <t>Opsparet overskud ekskl. skat</t>
  </si>
  <si>
    <t>Overførsel af beløb afsat til senere faktisk hævning</t>
  </si>
  <si>
    <t>Hævet indskud</t>
  </si>
  <si>
    <t>Hævet oversk.</t>
  </si>
  <si>
    <t>Kapitalindkomst fra virksomhed</t>
  </si>
  <si>
    <t>Rubrik 113</t>
  </si>
  <si>
    <t>Overført fra konto for opsparet overskud tillagt skat</t>
  </si>
  <si>
    <t>Rubrik 155</t>
  </si>
  <si>
    <t>Beregnet rentekorrektion</t>
  </si>
  <si>
    <t>Rentekorrektion</t>
  </si>
  <si>
    <t>Rubrik 154</t>
  </si>
  <si>
    <t>Underskud af selvstændig virksomhed</t>
  </si>
  <si>
    <t>Rubrik 112</t>
  </si>
  <si>
    <t>Renteindtægter i virksomhed</t>
  </si>
  <si>
    <t>Renteudgifter i virksomhed</t>
  </si>
  <si>
    <t>Rubrik 114</t>
  </si>
  <si>
    <t>Rubrik 117</t>
  </si>
  <si>
    <t>SKATTEOPGØRELSE KAO</t>
  </si>
  <si>
    <t>Rubrik 143</t>
  </si>
  <si>
    <t>Rubrik 142</t>
  </si>
  <si>
    <t>Rubrik 144</t>
  </si>
  <si>
    <t>Overført til eller fra konjunkturudligningskonto:</t>
  </si>
  <si>
    <t xml:space="preserve">Fra konjunkturudligningskonto tillagt skat </t>
  </si>
  <si>
    <t>SKATTEOPGØRELSE ApS</t>
  </si>
  <si>
    <t>Hvis de løbende a conto skatter for den selvstændige erhvervsvirksomhed ikke udgør eller overstiger den endelige skattebetaling, tillægges den manglende skattebetaling en rente fra Told &amp; Skat (renten er ikke fradragsberettiget).</t>
  </si>
  <si>
    <t>ELSTRØM</t>
  </si>
  <si>
    <t>Elstrøm</t>
  </si>
  <si>
    <t>Leif Elstrøm</t>
  </si>
  <si>
    <t>Anders Andersen</t>
  </si>
  <si>
    <t>Bo Bosen</t>
  </si>
  <si>
    <t>Carl Carlsen</t>
  </si>
  <si>
    <t>Daniel Danielsen</t>
  </si>
  <si>
    <t>Erik Eriksen</t>
  </si>
  <si>
    <t>Frode Frodesen</t>
  </si>
  <si>
    <t>SKATTENOTER</t>
  </si>
  <si>
    <t>Årets skattemæssige resultat</t>
  </si>
  <si>
    <t>Kapitalafkastgrundlag jf. særskilt opgørelse</t>
  </si>
  <si>
    <t>Kapitalafkastsats</t>
  </si>
  <si>
    <t>Grundlag for rentekorrektion jf. særskilt opgørelse</t>
  </si>
  <si>
    <t>Hævet</t>
  </si>
  <si>
    <t>Alle såvel private som erhvervsmæssige renteindtægter og renteudgifter påføres selvangivelsen under kapitalindkomst og fradrag i kapitalindkomst.</t>
  </si>
  <si>
    <t>SALDOBALANCE</t>
  </si>
  <si>
    <t>TEKSTELEMENTER</t>
  </si>
  <si>
    <t>Privat andel af biludgifter</t>
  </si>
  <si>
    <t>Eget vareforbrug (tillagt moms)</t>
  </si>
  <si>
    <t>Hævet i indkomståret</t>
  </si>
  <si>
    <t>Foreslået hensat til senere hævning</t>
  </si>
  <si>
    <t>AM-bidrag</t>
  </si>
  <si>
    <t>Optimering af personlig indkomst</t>
  </si>
  <si>
    <t>Optimeret hævninger i alt</t>
  </si>
  <si>
    <t>Kapitalpension</t>
  </si>
  <si>
    <t>Indbetaling til øvrige fradragsberettigede pensioner</t>
  </si>
  <si>
    <t>Indbetaling til kapitalpension</t>
  </si>
  <si>
    <t>Optimeret personlig indkomst ekskl. AM-bidrag
(efter fradrag af pensionsindbetalinger)</t>
  </si>
  <si>
    <t>Optimeret personlig indkomst ekskl. AM-bidrag
(før fradrag af pensionsindbetalinger)</t>
  </si>
  <si>
    <t>Optimeret personlig indkomst
(før fradrag af AM-bidrag og pensionsindbetalinger)</t>
  </si>
  <si>
    <t>Nettokapitalindkomst</t>
  </si>
  <si>
    <t>Ingen virksomhedsform er valgt !</t>
  </si>
  <si>
    <t>Opsparet overskud ved 50%</t>
  </si>
  <si>
    <t>Opsparet overskud ved 38%</t>
  </si>
  <si>
    <t>Opsparet overskud ved 34%</t>
  </si>
  <si>
    <t>Opsparet overskud ved 32%</t>
  </si>
  <si>
    <t>Opsparet overskud ved 30%</t>
  </si>
  <si>
    <t>Hævet overskud ved 50%</t>
  </si>
  <si>
    <t>Hævet overskud ved 38%</t>
  </si>
  <si>
    <t>Hævet overskud ved 34%</t>
  </si>
  <si>
    <t>Hævet overskud ved 32%</t>
  </si>
  <si>
    <t>Hævet overskud ved 30%</t>
  </si>
  <si>
    <r>
      <t>pVKa</t>
    </r>
    <r>
      <rPr>
        <sz val="10"/>
        <rFont val="Arial"/>
        <family val="0"/>
      </rPr>
      <t xml:space="preserve">
</t>
    </r>
    <r>
      <rPr>
        <sz val="12"/>
        <color indexed="43"/>
        <rFont val="Arial"/>
        <family val="2"/>
      </rPr>
      <t>version 1</t>
    </r>
  </si>
  <si>
    <t>ekskl. skat</t>
  </si>
  <si>
    <t>Vælg beskatningsform</t>
  </si>
  <si>
    <t>Hensættelser</t>
  </si>
  <si>
    <t>Skatteaktiv</t>
  </si>
  <si>
    <t>Ved realisering af virksomhedens aktiver og forpligtelser til regnskabsmæssig værdi kan ved en skattesats på 60% beregnes en udskudt skatteforpligtelse, der påhviler virksomhedens aktiver og forpligtelser på i alt ca. XX t.kr.</t>
  </si>
  <si>
    <t>Hensættelse til udskudt skat (ApS)</t>
  </si>
  <si>
    <t>Skatteaktiv (ApS)</t>
  </si>
  <si>
    <t>Skat af åretsresultat incl. udskudt (ApS)</t>
  </si>
  <si>
    <t>Resultat før skat</t>
  </si>
  <si>
    <t>Hensat til udskudt skat</t>
  </si>
  <si>
    <t>HENSÆTTELSER</t>
  </si>
</sst>
</file>

<file path=xl/styles.xml><?xml version="1.0" encoding="utf-8"?>
<styleSheet xmlns="http://schemas.openxmlformats.org/spreadsheetml/2006/main">
  <numFmts count="3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
    <numFmt numFmtId="165" formatCode="\-#,##0;#,##0;#,##0"/>
    <numFmt numFmtId="166" formatCode="#,##0;#,##0"/>
    <numFmt numFmtId="167" formatCode="####"/>
    <numFmt numFmtId="168" formatCode="&quot;Ja&quot;;&quot;Ja&quot;;&quot;Nej&quot;"/>
    <numFmt numFmtId="169" formatCode="&quot;Sand&quot;;&quot;Sand&quot;;&quot;Falsk&quot;"/>
    <numFmt numFmtId="170" formatCode="&quot;Til&quot;;&quot;Til&quot;;&quot;Fra&quot;"/>
    <numFmt numFmtId="171" formatCode="0.0"/>
    <numFmt numFmtId="172" formatCode="#,###.0"/>
    <numFmt numFmtId="173" formatCode="#,##0;#,##0;#,##0"/>
    <numFmt numFmtId="174" formatCode="###,000"/>
    <numFmt numFmtId="175" formatCode="#,###\2"/>
    <numFmt numFmtId="176" formatCode="_(* #,##0.0_);_(* \(#,##0.0\);_(* &quot;-&quot;??_);_(@_)"/>
    <numFmt numFmtId="177" formatCode="_(* #,##0_);_(* \(#,##0\);_(* &quot;-&quot;??_);_(@_)"/>
    <numFmt numFmtId="178" formatCode="0_);\(0\)"/>
    <numFmt numFmtId="179" formatCode="[$-406]d\.\ mmmm\ yyyy"/>
    <numFmt numFmtId="180" formatCode="[$-406]d\.\ mmmm\ yyyy;@"/>
    <numFmt numFmtId="181" formatCode="##/##"/>
    <numFmt numFmtId="182" formatCode="0#/##"/>
    <numFmt numFmtId="183" formatCode="##\ ##\ ##\ ##"/>
    <numFmt numFmtId="184" formatCode="@*."/>
    <numFmt numFmtId="185" formatCode="#,##0.0"/>
    <numFmt numFmtId="186" formatCode="0.0%"/>
    <numFmt numFmtId="187" formatCode="[$€-2]\ #.##000_);[Red]\([$€-2]\ #.##000\)"/>
  </numFmts>
  <fonts count="36">
    <font>
      <sz val="10"/>
      <name val="Arial"/>
      <family val="0"/>
    </font>
    <font>
      <sz val="8"/>
      <name val="Arial"/>
      <family val="0"/>
    </font>
    <font>
      <sz val="12"/>
      <name val="Times New Roman"/>
      <family val="0"/>
    </font>
    <font>
      <b/>
      <sz val="12"/>
      <color indexed="9"/>
      <name val="Arial"/>
      <family val="2"/>
    </font>
    <font>
      <b/>
      <sz val="8"/>
      <color indexed="43"/>
      <name val="Arial"/>
      <family val="2"/>
    </font>
    <font>
      <b/>
      <sz val="8"/>
      <color indexed="9"/>
      <name val="Arial"/>
      <family val="2"/>
    </font>
    <font>
      <sz val="8"/>
      <color indexed="9"/>
      <name val="Arial"/>
      <family val="2"/>
    </font>
    <font>
      <sz val="12"/>
      <name val="Arial"/>
      <family val="2"/>
    </font>
    <font>
      <u val="single"/>
      <sz val="12"/>
      <name val="Arial"/>
      <family val="2"/>
    </font>
    <font>
      <sz val="8"/>
      <name val="Tahoma"/>
      <family val="2"/>
    </font>
    <font>
      <sz val="10"/>
      <color indexed="22"/>
      <name val="Arial"/>
      <family val="2"/>
    </font>
    <font>
      <b/>
      <sz val="12"/>
      <name val="Arial"/>
      <family val="2"/>
    </font>
    <font>
      <b/>
      <sz val="10"/>
      <name val="Arial"/>
      <family val="2"/>
    </font>
    <font>
      <b/>
      <sz val="11"/>
      <name val="Arial"/>
      <family val="2"/>
    </font>
    <font>
      <i/>
      <sz val="10"/>
      <name val="Arial"/>
      <family val="2"/>
    </font>
    <font>
      <b/>
      <sz val="8"/>
      <name val="Arial"/>
      <family val="2"/>
    </font>
    <font>
      <sz val="8"/>
      <color indexed="18"/>
      <name val="Arial"/>
      <family val="2"/>
    </font>
    <font>
      <sz val="8"/>
      <color indexed="22"/>
      <name val="Arial"/>
      <family val="2"/>
    </font>
    <font>
      <b/>
      <sz val="10"/>
      <color indexed="22"/>
      <name val="Arial"/>
      <family val="2"/>
    </font>
    <font>
      <sz val="10"/>
      <color indexed="18"/>
      <name val="Arial"/>
      <family val="0"/>
    </font>
    <font>
      <b/>
      <i/>
      <sz val="12"/>
      <color indexed="9"/>
      <name val="Arial"/>
      <family val="2"/>
    </font>
    <font>
      <b/>
      <i/>
      <sz val="8"/>
      <color indexed="43"/>
      <name val="Arial"/>
      <family val="2"/>
    </font>
    <font>
      <b/>
      <i/>
      <sz val="12"/>
      <color indexed="22"/>
      <name val="Arial"/>
      <family val="2"/>
    </font>
    <font>
      <b/>
      <i/>
      <sz val="8"/>
      <color indexed="9"/>
      <name val="Arial"/>
      <family val="2"/>
    </font>
    <font>
      <sz val="10"/>
      <color indexed="10"/>
      <name val="Wingdings"/>
      <family val="0"/>
    </font>
    <font>
      <i/>
      <sz val="8"/>
      <color indexed="9"/>
      <name val="Arial"/>
      <family val="2"/>
    </font>
    <font>
      <i/>
      <sz val="8"/>
      <color indexed="18"/>
      <name val="Arial"/>
      <family val="2"/>
    </font>
    <font>
      <sz val="8"/>
      <color indexed="53"/>
      <name val="Arial"/>
      <family val="2"/>
    </font>
    <font>
      <u val="single"/>
      <sz val="10"/>
      <color indexed="12"/>
      <name val="Arial"/>
      <family val="0"/>
    </font>
    <font>
      <u val="single"/>
      <sz val="10"/>
      <color indexed="36"/>
      <name val="Arial"/>
      <family val="0"/>
    </font>
    <font>
      <b/>
      <i/>
      <sz val="48"/>
      <color indexed="22"/>
      <name val="Arial"/>
      <family val="2"/>
    </font>
    <font>
      <sz val="10"/>
      <color indexed="9"/>
      <name val="Arial"/>
      <family val="0"/>
    </font>
    <font>
      <b/>
      <sz val="8"/>
      <color indexed="18"/>
      <name val="Arial"/>
      <family val="2"/>
    </font>
    <font>
      <b/>
      <sz val="9"/>
      <color indexed="9"/>
      <name val="Arial"/>
      <family val="2"/>
    </font>
    <font>
      <sz val="12"/>
      <color indexed="43"/>
      <name val="Arial"/>
      <family val="2"/>
    </font>
    <font>
      <sz val="10"/>
      <color indexed="10"/>
      <name val="Arial"/>
      <family val="0"/>
    </font>
  </fonts>
  <fills count="7">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s>
  <borders count="43">
    <border>
      <left/>
      <right/>
      <top/>
      <bottom/>
      <diagonal/>
    </border>
    <border>
      <left style="thin">
        <color indexed="9"/>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22"/>
      </left>
      <right style="thin">
        <color indexed="22"/>
      </right>
      <top>
        <color indexed="63"/>
      </top>
      <bottom style="thin">
        <color indexed="22"/>
      </bottom>
    </border>
    <border>
      <left>
        <color indexed="63"/>
      </left>
      <right>
        <color indexed="63"/>
      </right>
      <top style="thin">
        <color indexed="22"/>
      </top>
      <bottom style="thin">
        <color indexed="22"/>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hair">
        <color indexed="31"/>
      </left>
      <right style="hair">
        <color indexed="31"/>
      </right>
      <top style="thin">
        <color indexed="18"/>
      </top>
      <bottom style="thin">
        <color indexed="18"/>
      </bottom>
    </border>
    <border>
      <left>
        <color indexed="63"/>
      </left>
      <right>
        <color indexed="63"/>
      </right>
      <top style="thin">
        <color indexed="18"/>
      </top>
      <bottom style="hair">
        <color indexed="31"/>
      </bottom>
    </border>
    <border>
      <left style="hair">
        <color indexed="31"/>
      </left>
      <right style="hair">
        <color indexed="31"/>
      </right>
      <top>
        <color indexed="63"/>
      </top>
      <bottom style="hair">
        <color indexed="31"/>
      </bottom>
    </border>
    <border>
      <left style="hair">
        <color indexed="31"/>
      </left>
      <right style="hair">
        <color indexed="31"/>
      </right>
      <top style="hair">
        <color indexed="31"/>
      </top>
      <bottom style="hair">
        <color indexed="31"/>
      </bottom>
    </border>
    <border>
      <left style="hair">
        <color indexed="31"/>
      </left>
      <right style="hair">
        <color indexed="31"/>
      </right>
      <top style="hair">
        <color indexed="31"/>
      </top>
      <bottom>
        <color indexed="63"/>
      </bottom>
    </border>
    <border>
      <left style="hair">
        <color indexed="31"/>
      </left>
      <right style="hair">
        <color indexed="31"/>
      </right>
      <top style="thin">
        <color indexed="18"/>
      </top>
      <bottom style="hair">
        <color indexed="31"/>
      </bottom>
    </border>
    <border>
      <left>
        <color indexed="63"/>
      </left>
      <right style="thin">
        <color indexed="9"/>
      </right>
      <top style="thin">
        <color indexed="9"/>
      </top>
      <bottom style="thin">
        <color indexed="9"/>
      </bottom>
    </border>
    <border>
      <left style="thin">
        <color indexed="9"/>
      </left>
      <right>
        <color indexed="63"/>
      </right>
      <top style="dotted">
        <color indexed="9"/>
      </top>
      <bottom>
        <color indexed="63"/>
      </bottom>
    </border>
    <border>
      <left>
        <color indexed="63"/>
      </left>
      <right>
        <color indexed="63"/>
      </right>
      <top style="dotted">
        <color indexed="9"/>
      </top>
      <bottom>
        <color indexed="63"/>
      </bottom>
    </border>
    <border>
      <left>
        <color indexed="63"/>
      </left>
      <right style="thin">
        <color indexed="9"/>
      </right>
      <top style="dotted">
        <color indexed="9"/>
      </top>
      <bottom>
        <color indexed="63"/>
      </bottom>
    </border>
    <border>
      <left>
        <color indexed="63"/>
      </left>
      <right style="thin">
        <color indexed="22"/>
      </right>
      <top style="thin">
        <color indexed="22"/>
      </top>
      <bottom style="thin">
        <color indexed="22"/>
      </bottom>
    </border>
    <border>
      <left>
        <color indexed="63"/>
      </left>
      <right style="hair">
        <color indexed="31"/>
      </right>
      <top style="hair">
        <color indexed="31"/>
      </top>
      <bottom style="hair">
        <color indexed="31"/>
      </bottom>
    </border>
    <border>
      <left style="hair">
        <color indexed="9"/>
      </left>
      <right style="hair">
        <color indexed="9"/>
      </right>
      <top style="hair">
        <color indexed="9"/>
      </top>
      <bottom style="hair">
        <color indexed="9"/>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bottom>
        <color indexed="63"/>
      </bottom>
    </border>
    <border>
      <left style="thick">
        <color indexed="9"/>
      </left>
      <right style="thick">
        <color indexed="9"/>
      </right>
      <top style="thick">
        <color indexed="9"/>
      </top>
      <bottom style="thick">
        <color indexed="9"/>
      </bottom>
    </border>
    <border>
      <left style="hair">
        <color indexed="31"/>
      </left>
      <right style="hair">
        <color indexed="31"/>
      </right>
      <top>
        <color indexed="63"/>
      </top>
      <bottom>
        <color indexed="63"/>
      </bottom>
    </border>
    <border>
      <left style="hair">
        <color indexed="31"/>
      </left>
      <right style="hair">
        <color indexed="31"/>
      </right>
      <top style="hair">
        <color indexed="31"/>
      </top>
      <bottom style="thin"/>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color indexed="63"/>
      </right>
      <top style="double"/>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2" borderId="0" applyFill="0">
      <alignment horizontal="center" wrapText="1"/>
      <protection/>
    </xf>
    <xf numFmtId="0" fontId="11" fillId="2" borderId="0" applyNumberFormat="0" applyFill="0">
      <alignment horizontal="center" wrapText="1"/>
      <protection/>
    </xf>
    <xf numFmtId="0" fontId="0" fillId="2" borderId="0">
      <alignment horizontal="justify"/>
      <protection/>
    </xf>
    <xf numFmtId="0" fontId="13" fillId="2" borderId="0">
      <alignment horizontal="left"/>
      <protection/>
    </xf>
    <xf numFmtId="0" fontId="12" fillId="2" borderId="0" applyAlignment="0">
      <protection/>
    </xf>
    <xf numFmtId="0" fontId="0" fillId="2" borderId="0" applyNumberFormat="0" applyFill="0">
      <alignment/>
      <protection/>
    </xf>
    <xf numFmtId="0" fontId="13" fillId="2" borderId="0">
      <alignment horizontal="left"/>
      <protection/>
    </xf>
    <xf numFmtId="0" fontId="12" fillId="2" borderId="0" applyFill="0">
      <alignment/>
      <protection/>
    </xf>
    <xf numFmtId="0" fontId="14" fillId="2" borderId="0">
      <alignment horizontal="justify" vertical="top" wrapText="1"/>
      <protection/>
    </xf>
    <xf numFmtId="0" fontId="6" fillId="3" borderId="1">
      <alignment/>
      <protection/>
    </xf>
    <xf numFmtId="0" fontId="1" fillId="4" borderId="2">
      <alignment/>
      <protection/>
    </xf>
  </cellStyleXfs>
  <cellXfs count="446">
    <xf numFmtId="0" fontId="0" fillId="0" borderId="0" xfId="0" applyAlignment="1">
      <alignment/>
    </xf>
    <xf numFmtId="0" fontId="0" fillId="3" borderId="0" xfId="0" applyFill="1" applyAlignment="1">
      <alignment/>
    </xf>
    <xf numFmtId="0" fontId="1" fillId="3" borderId="0" xfId="0" applyFont="1" applyFill="1" applyAlignment="1">
      <alignment/>
    </xf>
    <xf numFmtId="0" fontId="6" fillId="3" borderId="0" xfId="0" applyFont="1" applyFill="1" applyAlignment="1">
      <alignment/>
    </xf>
    <xf numFmtId="0" fontId="7" fillId="3" borderId="0" xfId="0" applyFont="1" applyFill="1" applyBorder="1" applyAlignment="1">
      <alignment/>
    </xf>
    <xf numFmtId="0" fontId="8" fillId="3" borderId="0" xfId="0" applyFont="1" applyFill="1" applyBorder="1" applyAlignment="1">
      <alignment/>
    </xf>
    <xf numFmtId="3" fontId="7" fillId="3" borderId="0" xfId="0" applyNumberFormat="1" applyFont="1" applyFill="1" applyBorder="1" applyAlignment="1">
      <alignment/>
    </xf>
    <xf numFmtId="0" fontId="7" fillId="3" borderId="0" xfId="0" applyFont="1" applyFill="1" applyBorder="1" applyAlignment="1" quotePrefix="1">
      <alignment/>
    </xf>
    <xf numFmtId="3" fontId="7" fillId="3" borderId="0" xfId="0" applyNumberFormat="1" applyFont="1" applyFill="1" applyBorder="1" applyAlignment="1" quotePrefix="1">
      <alignment horizontal="right"/>
    </xf>
    <xf numFmtId="0" fontId="1" fillId="3" borderId="0" xfId="0" applyFont="1" applyFill="1" applyBorder="1" applyAlignment="1">
      <alignment/>
    </xf>
    <xf numFmtId="49" fontId="1" fillId="2" borderId="2" xfId="0" applyNumberFormat="1" applyFont="1" applyFill="1" applyBorder="1" applyAlignment="1">
      <alignment/>
    </xf>
    <xf numFmtId="0" fontId="1" fillId="4" borderId="2" xfId="0" applyFont="1" applyFill="1" applyBorder="1" applyAlignment="1">
      <alignment/>
    </xf>
    <xf numFmtId="49" fontId="1" fillId="3" borderId="0" xfId="0" applyNumberFormat="1" applyFont="1" applyFill="1" applyBorder="1" applyAlignment="1">
      <alignment/>
    </xf>
    <xf numFmtId="49" fontId="1" fillId="3" borderId="0" xfId="0" applyNumberFormat="1" applyFont="1" applyFill="1" applyBorder="1" applyAlignment="1">
      <alignment/>
    </xf>
    <xf numFmtId="49" fontId="1" fillId="4" borderId="2" xfId="0" applyNumberFormat="1" applyFont="1" applyFill="1" applyBorder="1" applyAlignment="1">
      <alignment/>
    </xf>
    <xf numFmtId="183" fontId="1" fillId="2" borderId="2" xfId="0" applyNumberFormat="1" applyFont="1" applyFill="1" applyBorder="1" applyAlignment="1">
      <alignment/>
    </xf>
    <xf numFmtId="183" fontId="1" fillId="2" borderId="3" xfId="0" applyNumberFormat="1" applyFont="1" applyFill="1" applyBorder="1" applyAlignment="1">
      <alignment/>
    </xf>
    <xf numFmtId="0" fontId="1" fillId="3" borderId="0" xfId="0" applyFont="1" applyFill="1" applyBorder="1" applyAlignment="1">
      <alignment/>
    </xf>
    <xf numFmtId="183" fontId="1" fillId="2" borderId="3" xfId="0" applyNumberFormat="1" applyFont="1" applyFill="1" applyBorder="1" applyAlignment="1">
      <alignment horizontal="left"/>
    </xf>
    <xf numFmtId="0" fontId="5" fillId="3" borderId="1" xfId="0" applyFont="1" applyFill="1" applyBorder="1" applyAlignment="1">
      <alignment/>
    </xf>
    <xf numFmtId="0" fontId="1" fillId="3" borderId="4" xfId="0" applyFont="1" applyFill="1" applyBorder="1" applyAlignment="1">
      <alignment/>
    </xf>
    <xf numFmtId="0" fontId="6" fillId="3" borderId="1" xfId="0" applyFont="1" applyFill="1" applyBorder="1" applyAlignment="1">
      <alignment/>
    </xf>
    <xf numFmtId="49" fontId="1" fillId="3" borderId="4" xfId="0" applyNumberFormat="1" applyFont="1" applyFill="1" applyBorder="1" applyAlignment="1">
      <alignment/>
    </xf>
    <xf numFmtId="0" fontId="6" fillId="3" borderId="5" xfId="0" applyFont="1" applyFill="1" applyBorder="1" applyAlignment="1">
      <alignment/>
    </xf>
    <xf numFmtId="0" fontId="7" fillId="3" borderId="6" xfId="0" applyFont="1" applyFill="1" applyBorder="1" applyAlignment="1">
      <alignment/>
    </xf>
    <xf numFmtId="3" fontId="7" fillId="3" borderId="6" xfId="0" applyNumberFormat="1" applyFont="1" applyFill="1" applyBorder="1" applyAlignment="1">
      <alignment/>
    </xf>
    <xf numFmtId="3" fontId="7" fillId="3" borderId="7" xfId="0" applyNumberFormat="1" applyFont="1" applyFill="1" applyBorder="1" applyAlignment="1">
      <alignment/>
    </xf>
    <xf numFmtId="0" fontId="1" fillId="3" borderId="4" xfId="0" applyFont="1" applyFill="1" applyBorder="1" applyAlignment="1">
      <alignment/>
    </xf>
    <xf numFmtId="0" fontId="7" fillId="3" borderId="4" xfId="0" applyFont="1" applyFill="1" applyBorder="1" applyAlignment="1">
      <alignment/>
    </xf>
    <xf numFmtId="0" fontId="1" fillId="2" borderId="3" xfId="0" applyFont="1" applyFill="1" applyBorder="1" applyAlignment="1">
      <alignment horizontal="left"/>
    </xf>
    <xf numFmtId="49" fontId="1" fillId="2" borderId="2" xfId="0" applyNumberFormat="1" applyFont="1" applyFill="1" applyBorder="1" applyAlignment="1">
      <alignment horizontal="center"/>
    </xf>
    <xf numFmtId="0" fontId="1" fillId="2" borderId="2" xfId="0" applyFont="1" applyFill="1" applyBorder="1" applyAlignment="1">
      <alignment horizontal="center"/>
    </xf>
    <xf numFmtId="49" fontId="1" fillId="2" borderId="2" xfId="0" applyNumberFormat="1" applyFont="1" applyFill="1" applyBorder="1" applyAlignment="1" quotePrefix="1">
      <alignment horizontal="center"/>
    </xf>
    <xf numFmtId="0" fontId="1" fillId="2" borderId="8" xfId="0" applyFont="1" applyFill="1" applyBorder="1" applyAlignment="1">
      <alignment horizontal="center"/>
    </xf>
    <xf numFmtId="49" fontId="1" fillId="3" borderId="0" xfId="0" applyNumberFormat="1" applyFont="1" applyFill="1" applyBorder="1" applyAlignment="1">
      <alignment horizontal="center"/>
    </xf>
    <xf numFmtId="49" fontId="1" fillId="2" borderId="8" xfId="0" applyNumberFormat="1" applyFont="1" applyFill="1" applyBorder="1" applyAlignment="1">
      <alignment horizontal="right"/>
    </xf>
    <xf numFmtId="49" fontId="1" fillId="2" borderId="2" xfId="0" applyNumberFormat="1" applyFont="1" applyFill="1" applyBorder="1" applyAlignment="1">
      <alignment horizontal="right"/>
    </xf>
    <xf numFmtId="0" fontId="16" fillId="3" borderId="0" xfId="0" applyFont="1" applyFill="1" applyAlignment="1">
      <alignment/>
    </xf>
    <xf numFmtId="0" fontId="0" fillId="3" borderId="0" xfId="0" applyNumberFormat="1" applyFont="1" applyFill="1" applyAlignment="1">
      <alignment/>
    </xf>
    <xf numFmtId="0" fontId="0" fillId="3" borderId="0" xfId="0" applyNumberFormat="1" applyFont="1" applyFill="1" applyAlignment="1">
      <alignment/>
    </xf>
    <xf numFmtId="0" fontId="0" fillId="3" borderId="0" xfId="0" applyFont="1" applyFill="1" applyAlignment="1">
      <alignment/>
    </xf>
    <xf numFmtId="0" fontId="0" fillId="3" borderId="0" xfId="0" applyFont="1" applyFill="1" applyAlignment="1">
      <alignment/>
    </xf>
    <xf numFmtId="0" fontId="0" fillId="2" borderId="0" xfId="0" applyNumberFormat="1" applyFont="1" applyFill="1" applyAlignment="1">
      <alignment/>
    </xf>
    <xf numFmtId="0" fontId="0" fillId="2" borderId="0" xfId="0" applyNumberFormat="1" applyFont="1" applyFill="1" applyAlignment="1">
      <alignment horizontal="centerContinuous"/>
    </xf>
    <xf numFmtId="0" fontId="11" fillId="2" borderId="0" xfId="0" applyNumberFormat="1" applyFont="1" applyFill="1" applyAlignment="1">
      <alignment horizontal="centerContinuous"/>
    </xf>
    <xf numFmtId="0" fontId="7" fillId="2" borderId="0" xfId="0" applyNumberFormat="1" applyFont="1" applyFill="1" applyAlignment="1">
      <alignment horizontal="centerContinuous"/>
    </xf>
    <xf numFmtId="0" fontId="0" fillId="2" borderId="0" xfId="0" applyFont="1" applyFill="1" applyAlignment="1">
      <alignment/>
    </xf>
    <xf numFmtId="0" fontId="12" fillId="2" borderId="0" xfId="0" applyFont="1" applyFill="1" applyAlignment="1">
      <alignment horizontal="center"/>
    </xf>
    <xf numFmtId="0" fontId="0" fillId="2" borderId="0" xfId="0" applyFont="1" applyFill="1" applyAlignment="1">
      <alignment horizontal="centerContinuous"/>
    </xf>
    <xf numFmtId="0" fontId="12" fillId="2" borderId="0" xfId="0" applyFont="1" applyFill="1" applyAlignment="1">
      <alignment horizontal="centerContinuous"/>
    </xf>
    <xf numFmtId="0" fontId="0" fillId="2" borderId="0" xfId="0" applyFont="1" applyFill="1" applyAlignment="1">
      <alignment/>
    </xf>
    <xf numFmtId="0" fontId="10" fillId="3" borderId="0" xfId="0" applyFont="1" applyFill="1" applyAlignment="1">
      <alignment/>
    </xf>
    <xf numFmtId="0" fontId="13" fillId="2" borderId="0" xfId="21">
      <alignment horizontal="left"/>
      <protection/>
    </xf>
    <xf numFmtId="0" fontId="12" fillId="2" borderId="0" xfId="25" applyFill="1">
      <alignment/>
      <protection/>
    </xf>
    <xf numFmtId="0" fontId="0" fillId="2" borderId="0" xfId="23" applyNumberFormat="1" applyFill="1">
      <alignment/>
      <protection/>
    </xf>
    <xf numFmtId="0" fontId="18" fillId="3" borderId="0" xfId="0" applyFont="1" applyFill="1" applyAlignment="1">
      <alignment/>
    </xf>
    <xf numFmtId="0" fontId="10" fillId="3" borderId="0" xfId="0" applyFont="1" applyFill="1" applyAlignment="1">
      <alignment horizontal="center"/>
    </xf>
    <xf numFmtId="0" fontId="0" fillId="4" borderId="9" xfId="0" applyFont="1" applyFill="1" applyBorder="1" applyAlignment="1">
      <alignment/>
    </xf>
    <xf numFmtId="0" fontId="19" fillId="5" borderId="9" xfId="0" applyFont="1" applyFill="1" applyBorder="1" applyAlignment="1">
      <alignment/>
    </xf>
    <xf numFmtId="0" fontId="19" fillId="5" borderId="2" xfId="0" applyFont="1" applyFill="1" applyBorder="1" applyAlignment="1">
      <alignment horizontal="center"/>
    </xf>
    <xf numFmtId="0" fontId="0" fillId="2" borderId="0" xfId="20">
      <alignment horizontal="justify"/>
      <protection/>
    </xf>
    <xf numFmtId="0" fontId="12" fillId="2" borderId="0" xfId="22" applyAlignment="1">
      <alignment/>
      <protection/>
    </xf>
    <xf numFmtId="0" fontId="0" fillId="2" borderId="0" xfId="0" applyNumberFormat="1" applyFont="1" applyFill="1" applyAlignment="1" quotePrefix="1">
      <alignment horizontal="right"/>
    </xf>
    <xf numFmtId="0" fontId="4" fillId="3" borderId="1" xfId="0" applyFont="1" applyFill="1" applyBorder="1" applyAlignment="1">
      <alignment horizontal="center"/>
    </xf>
    <xf numFmtId="0" fontId="4" fillId="3" borderId="0" xfId="0" applyFont="1" applyFill="1" applyBorder="1" applyAlignment="1">
      <alignment horizontal="center"/>
    </xf>
    <xf numFmtId="0" fontId="4" fillId="3" borderId="4" xfId="0" applyFont="1" applyFill="1" applyBorder="1" applyAlignment="1">
      <alignment horizontal="center"/>
    </xf>
    <xf numFmtId="0" fontId="3" fillId="3" borderId="10" xfId="0" applyFont="1" applyFill="1" applyBorder="1" applyAlignment="1">
      <alignment vertical="center" wrapText="1"/>
    </xf>
    <xf numFmtId="0" fontId="3" fillId="3" borderId="11" xfId="0" applyFont="1" applyFill="1" applyBorder="1" applyAlignment="1">
      <alignment vertical="center"/>
    </xf>
    <xf numFmtId="0" fontId="0" fillId="2" borderId="0" xfId="20" applyAlignment="1">
      <alignment/>
      <protection/>
    </xf>
    <xf numFmtId="0" fontId="12" fillId="2" borderId="0" xfId="22" applyFont="1" applyAlignment="1">
      <alignment/>
      <protection/>
    </xf>
    <xf numFmtId="184" fontId="0" fillId="2" borderId="0" xfId="0" applyNumberFormat="1" applyFont="1" applyFill="1" applyAlignment="1">
      <alignment/>
    </xf>
    <xf numFmtId="0" fontId="0" fillId="2" borderId="0" xfId="20" applyFont="1" applyAlignment="1">
      <alignment/>
      <protection/>
    </xf>
    <xf numFmtId="0" fontId="6" fillId="3" borderId="1" xfId="27">
      <alignment/>
      <protection/>
    </xf>
    <xf numFmtId="0" fontId="6" fillId="3" borderId="1" xfId="27" applyFont="1">
      <alignment/>
      <protection/>
    </xf>
    <xf numFmtId="0" fontId="5" fillId="3" borderId="1" xfId="27" applyFont="1">
      <alignment/>
      <protection/>
    </xf>
    <xf numFmtId="0" fontId="5" fillId="3" borderId="1" xfId="27" applyFont="1" applyBorder="1">
      <alignment/>
      <protection/>
    </xf>
    <xf numFmtId="0" fontId="0" fillId="3" borderId="0" xfId="0" applyFill="1" applyBorder="1" applyAlignment="1">
      <alignment/>
    </xf>
    <xf numFmtId="0" fontId="0" fillId="3" borderId="4" xfId="0" applyFill="1" applyBorder="1" applyAlignment="1">
      <alignment/>
    </xf>
    <xf numFmtId="0" fontId="0" fillId="3" borderId="1"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23" fillId="3" borderId="1" xfId="27" applyFont="1">
      <alignment/>
      <protection/>
    </xf>
    <xf numFmtId="0" fontId="1" fillId="3" borderId="0" xfId="28" applyFill="1" applyBorder="1">
      <alignment/>
      <protection/>
    </xf>
    <xf numFmtId="0" fontId="1" fillId="3" borderId="6" xfId="0" applyFont="1" applyFill="1" applyBorder="1" applyAlignment="1">
      <alignment/>
    </xf>
    <xf numFmtId="0" fontId="1" fillId="3" borderId="7" xfId="0" applyFont="1" applyFill="1" applyBorder="1" applyAlignment="1">
      <alignment/>
    </xf>
    <xf numFmtId="0" fontId="6" fillId="3" borderId="6" xfId="0" applyFont="1" applyFill="1" applyBorder="1" applyAlignment="1">
      <alignment/>
    </xf>
    <xf numFmtId="0" fontId="6" fillId="3" borderId="12" xfId="0" applyFont="1" applyFill="1" applyBorder="1" applyAlignment="1">
      <alignment/>
    </xf>
    <xf numFmtId="0" fontId="1" fillId="3" borderId="12" xfId="0" applyFont="1" applyFill="1" applyBorder="1" applyAlignment="1">
      <alignment/>
    </xf>
    <xf numFmtId="0" fontId="6" fillId="3" borderId="13" xfId="0" applyFont="1" applyFill="1" applyBorder="1" applyAlignment="1">
      <alignment/>
    </xf>
    <xf numFmtId="0" fontId="1" fillId="3" borderId="14" xfId="0" applyFont="1" applyFill="1" applyBorder="1" applyAlignment="1">
      <alignment/>
    </xf>
    <xf numFmtId="0" fontId="6" fillId="3" borderId="1" xfId="27" applyFont="1" applyAlignment="1">
      <alignment wrapText="1"/>
      <protection/>
    </xf>
    <xf numFmtId="0" fontId="0" fillId="2" borderId="0" xfId="20" applyFont="1" applyAlignment="1">
      <alignment horizontal="left"/>
      <protection/>
    </xf>
    <xf numFmtId="0" fontId="1" fillId="3" borderId="0" xfId="28" applyFill="1" applyBorder="1" applyAlignment="1">
      <alignment horizontal="center"/>
      <protection/>
    </xf>
    <xf numFmtId="0" fontId="1" fillId="4" borderId="15" xfId="28" applyBorder="1" applyAlignment="1">
      <alignment horizontal="center"/>
      <protection/>
    </xf>
    <xf numFmtId="0" fontId="15" fillId="3" borderId="16" xfId="28" applyFont="1" applyFill="1" applyBorder="1">
      <alignment/>
      <protection/>
    </xf>
    <xf numFmtId="0" fontId="1" fillId="3" borderId="16" xfId="28" applyFill="1" applyBorder="1">
      <alignment/>
      <protection/>
    </xf>
    <xf numFmtId="0" fontId="1" fillId="3" borderId="0" xfId="28" applyFont="1" applyFill="1" applyBorder="1">
      <alignment/>
      <protection/>
    </xf>
    <xf numFmtId="3" fontId="1" fillId="4" borderId="17" xfId="28" applyNumberFormat="1" applyFont="1" applyBorder="1">
      <alignment/>
      <protection/>
    </xf>
    <xf numFmtId="3" fontId="1" fillId="4" borderId="18" xfId="28" applyNumberFormat="1" applyFont="1" applyBorder="1">
      <alignment/>
      <protection/>
    </xf>
    <xf numFmtId="3" fontId="1" fillId="5" borderId="18" xfId="28" applyNumberFormat="1" applyFont="1" applyFill="1" applyBorder="1">
      <alignment/>
      <protection/>
    </xf>
    <xf numFmtId="3" fontId="15" fillId="4" borderId="18" xfId="28" applyNumberFormat="1" applyFont="1" applyBorder="1">
      <alignment/>
      <protection/>
    </xf>
    <xf numFmtId="3" fontId="15" fillId="4" borderId="19" xfId="28" applyNumberFormat="1" applyFont="1" applyBorder="1">
      <alignment/>
      <protection/>
    </xf>
    <xf numFmtId="3" fontId="15" fillId="4" borderId="20" xfId="28" applyNumberFormat="1" applyFont="1" applyBorder="1">
      <alignment/>
      <protection/>
    </xf>
    <xf numFmtId="3" fontId="1" fillId="5" borderId="19" xfId="28" applyNumberFormat="1" applyFont="1" applyFill="1" applyBorder="1">
      <alignment/>
      <protection/>
    </xf>
    <xf numFmtId="3" fontId="1" fillId="4" borderId="19" xfId="28" applyNumberFormat="1" applyFont="1" applyBorder="1">
      <alignment/>
      <protection/>
    </xf>
    <xf numFmtId="3" fontId="1" fillId="4" borderId="18" xfId="28" applyNumberFormat="1" applyFont="1" applyFill="1" applyBorder="1">
      <alignment/>
      <protection/>
    </xf>
    <xf numFmtId="3" fontId="1" fillId="4" borderId="19" xfId="28" applyNumberFormat="1" applyFont="1" applyFill="1" applyBorder="1">
      <alignment/>
      <protection/>
    </xf>
    <xf numFmtId="3" fontId="15" fillId="4" borderId="20" xfId="28" applyNumberFormat="1" applyFont="1" applyFill="1" applyBorder="1">
      <alignment/>
      <protection/>
    </xf>
    <xf numFmtId="3" fontId="1" fillId="4" borderId="18" xfId="28" applyNumberFormat="1" applyBorder="1">
      <alignment/>
      <protection/>
    </xf>
    <xf numFmtId="3" fontId="1" fillId="5" borderId="18" xfId="28" applyNumberFormat="1" applyFill="1" applyBorder="1">
      <alignment/>
      <protection/>
    </xf>
    <xf numFmtId="3" fontId="1" fillId="4" borderId="18" xfId="28" applyNumberFormat="1" applyFill="1" applyBorder="1">
      <alignment/>
      <protection/>
    </xf>
    <xf numFmtId="3" fontId="1" fillId="5" borderId="19" xfId="28" applyNumberFormat="1" applyFill="1" applyBorder="1">
      <alignment/>
      <protection/>
    </xf>
    <xf numFmtId="3" fontId="1" fillId="4" borderId="19" xfId="28" applyNumberFormat="1" applyFill="1" applyBorder="1">
      <alignment/>
      <protection/>
    </xf>
    <xf numFmtId="3" fontId="15" fillId="4" borderId="18" xfId="28" applyNumberFormat="1" applyFont="1" applyFill="1" applyBorder="1">
      <alignment/>
      <protection/>
    </xf>
    <xf numFmtId="3" fontId="1" fillId="4" borderId="20" xfId="28" applyNumberFormat="1" applyFill="1" applyBorder="1">
      <alignment/>
      <protection/>
    </xf>
    <xf numFmtId="3" fontId="15" fillId="4" borderId="15" xfId="28" applyNumberFormat="1" applyFont="1" applyFill="1" applyBorder="1">
      <alignment/>
      <protection/>
    </xf>
    <xf numFmtId="3" fontId="1" fillId="4" borderId="15" xfId="28" applyNumberFormat="1" applyFill="1" applyBorder="1">
      <alignment/>
      <protection/>
    </xf>
    <xf numFmtId="0" fontId="6" fillId="3" borderId="1" xfId="27" applyBorder="1">
      <alignment/>
      <protection/>
    </xf>
    <xf numFmtId="0" fontId="6" fillId="3" borderId="5" xfId="27" applyBorder="1">
      <alignment/>
      <protection/>
    </xf>
    <xf numFmtId="0" fontId="6" fillId="3" borderId="10" xfId="27" applyBorder="1" applyAlignment="1">
      <alignment horizontal="center"/>
      <protection/>
    </xf>
    <xf numFmtId="0" fontId="6" fillId="3" borderId="11" xfId="27" applyBorder="1" applyAlignment="1">
      <alignment horizontal="center"/>
      <protection/>
    </xf>
    <xf numFmtId="0" fontId="6" fillId="3" borderId="21" xfId="27" applyBorder="1" applyAlignment="1">
      <alignment horizontal="center"/>
      <protection/>
    </xf>
    <xf numFmtId="3" fontId="6" fillId="3" borderId="0" xfId="27" applyNumberFormat="1" applyBorder="1">
      <alignment/>
      <protection/>
    </xf>
    <xf numFmtId="3" fontId="6" fillId="3" borderId="4" xfId="27" applyNumberFormat="1" applyBorder="1">
      <alignment/>
      <protection/>
    </xf>
    <xf numFmtId="3" fontId="6" fillId="3" borderId="6" xfId="27" applyNumberFormat="1" applyBorder="1">
      <alignment/>
      <protection/>
    </xf>
    <xf numFmtId="3" fontId="6" fillId="3" borderId="7" xfId="27" applyNumberFormat="1" applyBorder="1">
      <alignment/>
      <protection/>
    </xf>
    <xf numFmtId="0" fontId="24" fillId="3" borderId="0" xfId="0" applyFont="1" applyFill="1" applyAlignment="1">
      <alignment horizontal="center"/>
    </xf>
    <xf numFmtId="0" fontId="0" fillId="3" borderId="0" xfId="0" applyFont="1" applyFill="1" applyAlignment="1">
      <alignment horizontal="right"/>
    </xf>
    <xf numFmtId="0" fontId="0" fillId="2" borderId="0" xfId="0" applyFont="1" applyFill="1" applyAlignment="1">
      <alignment horizontal="right"/>
    </xf>
    <xf numFmtId="0" fontId="0" fillId="2" borderId="0" xfId="23" applyFont="1" applyFill="1">
      <alignment/>
      <protection/>
    </xf>
    <xf numFmtId="0" fontId="14" fillId="2" borderId="0" xfId="23" applyFont="1" applyFill="1">
      <alignment/>
      <protection/>
    </xf>
    <xf numFmtId="0" fontId="0" fillId="2" borderId="0" xfId="0" applyFill="1" applyAlignment="1">
      <alignment vertical="top" wrapText="1"/>
    </xf>
    <xf numFmtId="0" fontId="0" fillId="2" borderId="0" xfId="0" applyFill="1" applyAlignment="1">
      <alignment horizontal="justify" vertical="top" wrapText="1"/>
    </xf>
    <xf numFmtId="0" fontId="16" fillId="3" borderId="0" xfId="0" applyFont="1" applyFill="1" applyBorder="1" applyAlignment="1">
      <alignment/>
    </xf>
    <xf numFmtId="0" fontId="0" fillId="2" borderId="0" xfId="23" applyFill="1">
      <alignment/>
      <protection/>
    </xf>
    <xf numFmtId="0" fontId="13" fillId="2" borderId="0" xfId="24">
      <alignment horizontal="left"/>
      <protection/>
    </xf>
    <xf numFmtId="0" fontId="0" fillId="3" borderId="0" xfId="23" applyFont="1" applyFill="1" applyBorder="1">
      <alignment/>
      <protection/>
    </xf>
    <xf numFmtId="0" fontId="4" fillId="3" borderId="13" xfId="0" applyFont="1" applyFill="1" applyBorder="1" applyAlignment="1">
      <alignment/>
    </xf>
    <xf numFmtId="0" fontId="4" fillId="3" borderId="12" xfId="0" applyFont="1" applyFill="1" applyBorder="1" applyAlignment="1">
      <alignment/>
    </xf>
    <xf numFmtId="0" fontId="0" fillId="3" borderId="12" xfId="0" applyFont="1" applyFill="1" applyBorder="1" applyAlignment="1">
      <alignment/>
    </xf>
    <xf numFmtId="0" fontId="0" fillId="3" borderId="12" xfId="23" applyFont="1" applyFill="1" applyBorder="1">
      <alignment/>
      <protection/>
    </xf>
    <xf numFmtId="0" fontId="0" fillId="3" borderId="0" xfId="0" applyFont="1" applyFill="1" applyBorder="1" applyAlignment="1">
      <alignment/>
    </xf>
    <xf numFmtId="0" fontId="0" fillId="3" borderId="6" xfId="0" applyFont="1" applyFill="1" applyBorder="1" applyAlignment="1">
      <alignment/>
    </xf>
    <xf numFmtId="0" fontId="0" fillId="3" borderId="6" xfId="23" applyFont="1" applyFill="1" applyBorder="1">
      <alignment/>
      <protection/>
    </xf>
    <xf numFmtId="0" fontId="0" fillId="3" borderId="14" xfId="0" applyFont="1" applyFill="1" applyBorder="1" applyAlignment="1">
      <alignment/>
    </xf>
    <xf numFmtId="0" fontId="0" fillId="3" borderId="4" xfId="0" applyFont="1" applyFill="1" applyBorder="1" applyAlignment="1">
      <alignment/>
    </xf>
    <xf numFmtId="0" fontId="6" fillId="3" borderId="1" xfId="27" applyFont="1" applyBorder="1">
      <alignment/>
      <protection/>
    </xf>
    <xf numFmtId="0" fontId="6" fillId="3" borderId="1" xfId="27" applyFont="1" applyBorder="1" applyAlignment="1">
      <alignment wrapText="1"/>
      <protection/>
    </xf>
    <xf numFmtId="0" fontId="23" fillId="3" borderId="1" xfId="27" applyFont="1" applyBorder="1">
      <alignment/>
      <protection/>
    </xf>
    <xf numFmtId="0" fontId="0" fillId="3" borderId="1" xfId="23" applyFont="1" applyFill="1" applyBorder="1">
      <alignment/>
      <protection/>
    </xf>
    <xf numFmtId="0" fontId="0" fillId="3" borderId="5" xfId="23" applyFont="1" applyFill="1" applyBorder="1">
      <alignment/>
      <protection/>
    </xf>
    <xf numFmtId="0" fontId="0" fillId="3" borderId="7" xfId="0" applyFont="1" applyFill="1" applyBorder="1" applyAlignment="1">
      <alignment/>
    </xf>
    <xf numFmtId="0" fontId="6" fillId="3" borderId="0" xfId="27" applyBorder="1" applyAlignment="1">
      <alignment/>
      <protection/>
    </xf>
    <xf numFmtId="0" fontId="0" fillId="3" borderId="1" xfId="23" applyFont="1" applyFill="1" applyBorder="1" applyAlignment="1">
      <alignment/>
      <protection/>
    </xf>
    <xf numFmtId="0" fontId="0" fillId="3" borderId="0" xfId="23" applyFont="1" applyFill="1" applyBorder="1" applyAlignment="1">
      <alignment/>
      <protection/>
    </xf>
    <xf numFmtId="3" fontId="1" fillId="3" borderId="0" xfId="28" applyNumberFormat="1" applyFont="1" applyFill="1" applyBorder="1">
      <alignment/>
      <protection/>
    </xf>
    <xf numFmtId="0" fontId="5" fillId="3" borderId="0" xfId="27" applyFont="1" applyBorder="1" applyAlignment="1">
      <alignment/>
      <protection/>
    </xf>
    <xf numFmtId="0" fontId="6" fillId="3" borderId="0" xfId="27" applyBorder="1">
      <alignment/>
      <protection/>
    </xf>
    <xf numFmtId="0" fontId="6" fillId="3" borderId="0" xfId="27" applyFill="1" applyBorder="1">
      <alignment/>
      <protection/>
    </xf>
    <xf numFmtId="0" fontId="16" fillId="3" borderId="0" xfId="28" applyFont="1" applyFill="1" applyBorder="1" applyAlignment="1">
      <alignment vertical="top" wrapText="1"/>
      <protection/>
    </xf>
    <xf numFmtId="0" fontId="0" fillId="2" borderId="0" xfId="0" applyFill="1" applyAlignment="1">
      <alignment/>
    </xf>
    <xf numFmtId="0" fontId="0" fillId="2" borderId="0" xfId="0" applyFill="1" applyAlignment="1">
      <alignment/>
    </xf>
    <xf numFmtId="0" fontId="13" fillId="2" borderId="0" xfId="24" applyAlignment="1">
      <alignment/>
      <protection/>
    </xf>
    <xf numFmtId="0" fontId="0" fillId="3" borderId="22" xfId="23" applyFont="1" applyFill="1" applyBorder="1">
      <alignment/>
      <protection/>
    </xf>
    <xf numFmtId="0" fontId="6" fillId="3" borderId="23" xfId="27" applyBorder="1">
      <alignment/>
      <protection/>
    </xf>
    <xf numFmtId="0" fontId="0" fillId="3" borderId="23" xfId="23" applyFont="1" applyFill="1" applyBorder="1">
      <alignment/>
      <protection/>
    </xf>
    <xf numFmtId="0" fontId="0" fillId="3" borderId="24" xfId="0" applyFont="1" applyFill="1" applyBorder="1" applyAlignment="1">
      <alignment/>
    </xf>
    <xf numFmtId="0" fontId="5" fillId="3" borderId="0" xfId="27" applyFont="1" applyBorder="1">
      <alignment/>
      <protection/>
    </xf>
    <xf numFmtId="0" fontId="25" fillId="3" borderId="0" xfId="27" applyFont="1" applyBorder="1">
      <alignment/>
      <protection/>
    </xf>
    <xf numFmtId="0" fontId="1" fillId="3" borderId="0" xfId="28" applyFont="1" applyFill="1" applyBorder="1" applyAlignment="1">
      <alignment vertical="top" wrapText="1"/>
      <protection/>
    </xf>
    <xf numFmtId="0" fontId="25" fillId="3" borderId="0" xfId="27" applyFont="1" applyFill="1" applyBorder="1">
      <alignment/>
      <protection/>
    </xf>
    <xf numFmtId="0" fontId="1" fillId="5" borderId="25" xfId="28" applyFont="1" applyFill="1" applyBorder="1" applyAlignment="1">
      <alignment horizontal="right" vertical="top" wrapText="1"/>
      <protection/>
    </xf>
    <xf numFmtId="0" fontId="0" fillId="3" borderId="0" xfId="23" applyFont="1" applyFill="1" applyBorder="1" applyAlignment="1">
      <alignment horizontal="right" vertical="top"/>
      <protection/>
    </xf>
    <xf numFmtId="0" fontId="25" fillId="3" borderId="6" xfId="27" applyFont="1" applyBorder="1">
      <alignment/>
      <protection/>
    </xf>
    <xf numFmtId="3" fontId="1" fillId="3" borderId="6" xfId="28" applyNumberFormat="1" applyFont="1" applyFill="1" applyBorder="1">
      <alignment/>
      <protection/>
    </xf>
    <xf numFmtId="0" fontId="16" fillId="3" borderId="0" xfId="23" applyFont="1" applyFill="1" applyBorder="1">
      <alignment/>
      <protection/>
    </xf>
    <xf numFmtId="0" fontId="19" fillId="3" borderId="6" xfId="23" applyFont="1" applyFill="1" applyBorder="1">
      <alignment/>
      <protection/>
    </xf>
    <xf numFmtId="0" fontId="1" fillId="3" borderId="0" xfId="28" applyFont="1" applyFill="1" applyBorder="1" applyAlignment="1">
      <alignment horizontal="justify" vertical="top" wrapText="1"/>
      <protection/>
    </xf>
    <xf numFmtId="0" fontId="0" fillId="2" borderId="0" xfId="23" applyFont="1" applyFill="1" applyAlignment="1">
      <alignment horizontal="justify" vertical="top" wrapText="1"/>
      <protection/>
    </xf>
    <xf numFmtId="0" fontId="0" fillId="2" borderId="0" xfId="23" applyFont="1" applyFill="1" applyAlignment="1">
      <alignment vertical="top" wrapText="1"/>
      <protection/>
    </xf>
    <xf numFmtId="0" fontId="0" fillId="2" borderId="0" xfId="23" applyFill="1" applyAlignment="1">
      <alignment vertical="top" wrapText="1"/>
      <protection/>
    </xf>
    <xf numFmtId="0" fontId="14" fillId="2" borderId="0" xfId="23" applyFont="1" applyFill="1" applyAlignment="1">
      <alignment vertical="top" wrapText="1"/>
      <protection/>
    </xf>
    <xf numFmtId="0" fontId="12" fillId="2" borderId="0" xfId="25" applyFill="1" applyAlignment="1">
      <alignment vertical="top" wrapText="1"/>
      <protection/>
    </xf>
    <xf numFmtId="0" fontId="12" fillId="2" borderId="0" xfId="25" applyFont="1" applyFill="1" applyAlignment="1">
      <alignment vertical="top" wrapText="1"/>
      <protection/>
    </xf>
    <xf numFmtId="0" fontId="12" fillId="2" borderId="0" xfId="25" applyFont="1" applyFill="1" applyAlignment="1">
      <alignment horizontal="left"/>
      <protection/>
    </xf>
    <xf numFmtId="0" fontId="0" fillId="2" borderId="0" xfId="23" applyFont="1" applyFill="1" applyBorder="1" applyAlignment="1">
      <alignment horizontal="left" vertical="top" wrapText="1"/>
      <protection/>
    </xf>
    <xf numFmtId="0" fontId="0" fillId="2" borderId="0" xfId="23" applyFill="1" applyBorder="1" applyAlignment="1">
      <alignment horizontal="left"/>
      <protection/>
    </xf>
    <xf numFmtId="0" fontId="12" fillId="2" borderId="0" xfId="25" applyFill="1" applyAlignment="1">
      <alignment horizontal="left"/>
      <protection/>
    </xf>
    <xf numFmtId="0" fontId="0" fillId="2" borderId="0" xfId="23" applyFill="1" applyBorder="1" applyAlignment="1">
      <alignment horizontal="left" vertical="top" wrapText="1"/>
      <protection/>
    </xf>
    <xf numFmtId="0" fontId="0" fillId="2" borderId="0" xfId="23" applyFill="1" applyAlignment="1">
      <alignment horizontal="left"/>
      <protection/>
    </xf>
    <xf numFmtId="0" fontId="0" fillId="2" borderId="0" xfId="23" applyFont="1" applyFill="1" applyAlignment="1">
      <alignment horizontal="left" vertical="top" wrapText="1"/>
      <protection/>
    </xf>
    <xf numFmtId="0" fontId="0" fillId="2" borderId="0" xfId="23" applyFill="1" applyAlignment="1">
      <alignment horizontal="left" vertical="top" wrapText="1"/>
      <protection/>
    </xf>
    <xf numFmtId="0" fontId="12" fillId="2" borderId="0" xfId="25" applyFill="1" applyAlignment="1">
      <alignment horizontal="left" vertical="top" wrapText="1"/>
      <protection/>
    </xf>
    <xf numFmtId="0" fontId="14" fillId="2" borderId="0" xfId="23" applyFont="1" applyFill="1" applyAlignment="1">
      <alignment horizontal="left" vertical="top" wrapText="1"/>
      <protection/>
    </xf>
    <xf numFmtId="0" fontId="13" fillId="2" borderId="0" xfId="24" applyAlignment="1">
      <alignment horizontal="left"/>
      <protection/>
    </xf>
    <xf numFmtId="0" fontId="14" fillId="2" borderId="0" xfId="26" applyAlignment="1">
      <alignment horizontal="left" vertical="top" wrapText="1"/>
      <protection/>
    </xf>
    <xf numFmtId="0" fontId="13" fillId="2" borderId="0" xfId="24" applyFont="1" applyAlignment="1">
      <alignment horizontal="left"/>
      <protection/>
    </xf>
    <xf numFmtId="0" fontId="0" fillId="2" borderId="0" xfId="26" applyFont="1" applyAlignment="1">
      <alignment horizontal="left" vertical="top" wrapText="1"/>
      <protection/>
    </xf>
    <xf numFmtId="0" fontId="0" fillId="2" borderId="0" xfId="0" applyFont="1" applyFill="1" applyAlignment="1">
      <alignment horizontal="left" vertical="top" wrapText="1"/>
    </xf>
    <xf numFmtId="0" fontId="0" fillId="2" borderId="0" xfId="0" applyFill="1" applyAlignment="1">
      <alignment horizontal="right"/>
    </xf>
    <xf numFmtId="0" fontId="0" fillId="2" borderId="0" xfId="23" applyFill="1" applyAlignment="1">
      <alignment/>
      <protection/>
    </xf>
    <xf numFmtId="0" fontId="0" fillId="2" borderId="0" xfId="0" applyFont="1" applyFill="1" applyAlignment="1">
      <alignment vertical="top" wrapText="1"/>
    </xf>
    <xf numFmtId="0" fontId="0" fillId="2" borderId="0" xfId="23" applyFont="1" applyFill="1" applyAlignment="1">
      <alignment/>
      <protection/>
    </xf>
    <xf numFmtId="0" fontId="0" fillId="3" borderId="0" xfId="0" applyNumberFormat="1" applyFont="1" applyFill="1" applyAlignment="1" quotePrefix="1">
      <alignment/>
    </xf>
    <xf numFmtId="3" fontId="0" fillId="2" borderId="0" xfId="23" applyNumberFormat="1" applyFill="1">
      <alignment/>
      <protection/>
    </xf>
    <xf numFmtId="0" fontId="13" fillId="2" borderId="0" xfId="21" applyFont="1">
      <alignment horizontal="left"/>
      <protection/>
    </xf>
    <xf numFmtId="0" fontId="12" fillId="2" borderId="0" xfId="25" applyFont="1" applyFill="1">
      <alignment/>
      <protection/>
    </xf>
    <xf numFmtId="0" fontId="0" fillId="2" borderId="0" xfId="25" applyFont="1" applyFill="1">
      <alignment/>
      <protection/>
    </xf>
    <xf numFmtId="3" fontId="1" fillId="4" borderId="26" xfId="28" applyNumberFormat="1" applyFont="1" applyBorder="1">
      <alignment/>
      <protection/>
    </xf>
    <xf numFmtId="0" fontId="1" fillId="5" borderId="27" xfId="28" applyFont="1" applyFill="1" applyBorder="1">
      <alignment/>
      <protection/>
    </xf>
    <xf numFmtId="0" fontId="12" fillId="2" borderId="0" xfId="23" applyFont="1" applyFill="1">
      <alignment/>
      <protection/>
    </xf>
    <xf numFmtId="0" fontId="0" fillId="3" borderId="0" xfId="23" applyFill="1">
      <alignment/>
      <protection/>
    </xf>
    <xf numFmtId="0" fontId="0" fillId="2" borderId="0" xfId="23" applyFill="1" applyAlignment="1">
      <alignment horizontal="right" wrapText="1"/>
      <protection/>
    </xf>
    <xf numFmtId="0" fontId="0" fillId="2" borderId="28" xfId="23" applyFont="1" applyFill="1" applyBorder="1" applyAlignment="1">
      <alignment horizontal="right" wrapText="1"/>
      <protection/>
    </xf>
    <xf numFmtId="0" fontId="0" fillId="2" borderId="0" xfId="23" applyFill="1" applyAlignment="1">
      <alignment horizontal="right"/>
      <protection/>
    </xf>
    <xf numFmtId="0" fontId="0" fillId="2" borderId="28" xfId="23" applyFont="1" applyFill="1" applyBorder="1" applyAlignment="1">
      <alignment horizontal="right"/>
      <protection/>
    </xf>
    <xf numFmtId="0" fontId="0" fillId="3" borderId="13" xfId="23" applyFont="1" applyFill="1" applyBorder="1">
      <alignment/>
      <protection/>
    </xf>
    <xf numFmtId="0" fontId="6" fillId="3" borderId="12" xfId="27" applyBorder="1">
      <alignment/>
      <protection/>
    </xf>
    <xf numFmtId="3" fontId="1" fillId="3" borderId="12" xfId="28" applyNumberFormat="1" applyFont="1" applyFill="1" applyBorder="1">
      <alignment/>
      <protection/>
    </xf>
    <xf numFmtId="0" fontId="16" fillId="3" borderId="12" xfId="23" applyFont="1" applyFill="1" applyBorder="1">
      <alignment/>
      <protection/>
    </xf>
    <xf numFmtId="0" fontId="1" fillId="3" borderId="9" xfId="28" applyFont="1" applyFill="1" applyBorder="1" applyAlignment="1">
      <alignment horizontal="justify" vertical="top" wrapText="1"/>
      <protection/>
    </xf>
    <xf numFmtId="0" fontId="25" fillId="3" borderId="0" xfId="27" applyFont="1" applyBorder="1" applyAlignment="1">
      <alignment/>
      <protection/>
    </xf>
    <xf numFmtId="0" fontId="26" fillId="3" borderId="0" xfId="27" applyFont="1" applyBorder="1" applyAlignment="1">
      <alignment/>
      <protection/>
    </xf>
    <xf numFmtId="0" fontId="19" fillId="3" borderId="4" xfId="0" applyFont="1" applyFill="1" applyBorder="1" applyAlignment="1">
      <alignment/>
    </xf>
    <xf numFmtId="3" fontId="12" fillId="2" borderId="29" xfId="23" applyNumberFormat="1" applyFont="1" applyFill="1" applyBorder="1">
      <alignment/>
      <protection/>
    </xf>
    <xf numFmtId="3" fontId="12" fillId="2" borderId="30" xfId="23" applyNumberFormat="1" applyFont="1" applyFill="1" applyBorder="1">
      <alignment/>
      <protection/>
    </xf>
    <xf numFmtId="3" fontId="12" fillId="2" borderId="31" xfId="23" applyNumberFormat="1" applyFont="1" applyFill="1" applyBorder="1">
      <alignment/>
      <protection/>
    </xf>
    <xf numFmtId="3" fontId="0" fillId="2" borderId="31" xfId="23" applyNumberFormat="1" applyFill="1" applyBorder="1" applyAlignment="1">
      <alignment/>
      <protection/>
    </xf>
    <xf numFmtId="0" fontId="6" fillId="3" borderId="0" xfId="27" applyFont="1" applyBorder="1">
      <alignment/>
      <protection/>
    </xf>
    <xf numFmtId="3" fontId="0" fillId="2" borderId="28" xfId="23" applyNumberFormat="1" applyFill="1" applyBorder="1">
      <alignment/>
      <protection/>
    </xf>
    <xf numFmtId="3" fontId="0" fillId="2" borderId="0" xfId="23" applyNumberFormat="1" applyFill="1" applyBorder="1">
      <alignment/>
      <protection/>
    </xf>
    <xf numFmtId="0" fontId="0" fillId="3" borderId="0" xfId="0" applyFill="1" applyAlignment="1">
      <alignment horizontal="center"/>
    </xf>
    <xf numFmtId="0" fontId="0" fillId="2" borderId="0" xfId="0" applyFill="1" applyAlignment="1">
      <alignment horizontal="center"/>
    </xf>
    <xf numFmtId="0" fontId="0" fillId="2" borderId="0" xfId="23" applyFill="1" applyAlignment="1">
      <alignment horizontal="center"/>
      <protection/>
    </xf>
    <xf numFmtId="0" fontId="3" fillId="3" borderId="11" xfId="0" applyFont="1" applyFill="1" applyBorder="1" applyAlignment="1">
      <alignment vertical="center" wrapText="1"/>
    </xf>
    <xf numFmtId="0" fontId="12" fillId="2" borderId="0" xfId="0" applyFont="1" applyFill="1" applyAlignment="1">
      <alignment/>
    </xf>
    <xf numFmtId="3" fontId="12" fillId="2" borderId="0" xfId="23" applyNumberFormat="1" applyFont="1" applyFill="1">
      <alignment/>
      <protection/>
    </xf>
    <xf numFmtId="0" fontId="19" fillId="3" borderId="0" xfId="0" applyFont="1" applyFill="1" applyAlignment="1">
      <alignment/>
    </xf>
    <xf numFmtId="3" fontId="6" fillId="3" borderId="32" xfId="27" applyNumberFormat="1" applyBorder="1">
      <alignment/>
      <protection/>
    </xf>
    <xf numFmtId="3" fontId="6" fillId="3" borderId="9" xfId="27" applyNumberFormat="1" applyBorder="1">
      <alignment/>
      <protection/>
    </xf>
    <xf numFmtId="0" fontId="6" fillId="3" borderId="0" xfId="27" applyFont="1" applyBorder="1" applyAlignment="1">
      <alignment horizontal="left" indent="1"/>
      <protection/>
    </xf>
    <xf numFmtId="0" fontId="6" fillId="3" borderId="0" xfId="27" applyFont="1" applyBorder="1" applyAlignment="1">
      <alignment horizontal="left" vertical="top" wrapText="1"/>
      <protection/>
    </xf>
    <xf numFmtId="3" fontId="1" fillId="3" borderId="0" xfId="28" applyNumberFormat="1" applyFill="1" applyBorder="1">
      <alignment/>
      <protection/>
    </xf>
    <xf numFmtId="0" fontId="6" fillId="3" borderId="0" xfId="27" applyFont="1" applyBorder="1" applyAlignment="1">
      <alignment horizontal="left" vertical="top"/>
      <protection/>
    </xf>
    <xf numFmtId="3" fontId="6" fillId="3" borderId="0" xfId="27" applyNumberFormat="1" applyBorder="1" applyAlignment="1">
      <alignment/>
      <protection/>
    </xf>
    <xf numFmtId="3" fontId="1" fillId="3" borderId="0" xfId="28" applyNumberFormat="1" applyFill="1" applyBorder="1" applyAlignment="1">
      <alignment/>
      <protection/>
    </xf>
    <xf numFmtId="3" fontId="6" fillId="3" borderId="32" xfId="27" applyNumberFormat="1" applyBorder="1" applyAlignment="1">
      <alignment/>
      <protection/>
    </xf>
    <xf numFmtId="0" fontId="6" fillId="3" borderId="2" xfId="27" applyBorder="1" applyAlignment="1">
      <alignment horizontal="center"/>
      <protection/>
    </xf>
    <xf numFmtId="0" fontId="6" fillId="3" borderId="2" xfId="27" applyFont="1" applyBorder="1" applyAlignment="1">
      <alignment horizontal="center"/>
      <protection/>
    </xf>
    <xf numFmtId="3" fontId="0" fillId="3" borderId="0" xfId="0" applyNumberFormat="1" applyFill="1" applyAlignment="1">
      <alignment/>
    </xf>
    <xf numFmtId="9" fontId="0" fillId="4" borderId="9" xfId="0" applyNumberFormat="1" applyFont="1" applyFill="1" applyBorder="1" applyAlignment="1">
      <alignment/>
    </xf>
    <xf numFmtId="0" fontId="6" fillId="3" borderId="0" xfId="27" applyFont="1" applyBorder="1" applyAlignment="1">
      <alignment horizontal="center"/>
      <protection/>
    </xf>
    <xf numFmtId="3" fontId="1" fillId="3" borderId="0" xfId="27" applyNumberFormat="1" applyFont="1" applyFill="1" applyBorder="1">
      <alignment/>
      <protection/>
    </xf>
    <xf numFmtId="0" fontId="1" fillId="3" borderId="0" xfId="27" applyFont="1" applyFill="1" applyBorder="1" applyAlignment="1">
      <alignment/>
      <protection/>
    </xf>
    <xf numFmtId="0" fontId="6" fillId="3" borderId="0" xfId="27" applyBorder="1" applyAlignment="1">
      <alignment horizontal="center"/>
      <protection/>
    </xf>
    <xf numFmtId="0" fontId="6" fillId="3" borderId="9" xfId="27" applyBorder="1" applyAlignment="1">
      <alignment horizontal="center"/>
      <protection/>
    </xf>
    <xf numFmtId="3" fontId="1" fillId="5" borderId="27" xfId="28" applyNumberFormat="1" applyFill="1" applyBorder="1">
      <alignment/>
      <protection/>
    </xf>
    <xf numFmtId="0" fontId="6" fillId="3" borderId="0" xfId="27" applyFont="1" applyFill="1" applyBorder="1">
      <alignment/>
      <protection/>
    </xf>
    <xf numFmtId="3" fontId="6" fillId="3" borderId="0" xfId="27" applyNumberFormat="1" applyFill="1" applyBorder="1">
      <alignment/>
      <protection/>
    </xf>
    <xf numFmtId="0" fontId="6" fillId="3" borderId="0" xfId="27" applyFont="1" applyFill="1" applyBorder="1" applyAlignment="1">
      <alignment horizontal="center"/>
      <protection/>
    </xf>
    <xf numFmtId="3" fontId="6" fillId="3" borderId="2" xfId="27" applyNumberFormat="1" applyFill="1" applyBorder="1">
      <alignment/>
      <protection/>
    </xf>
    <xf numFmtId="3" fontId="6" fillId="3" borderId="2" xfId="27" applyNumberFormat="1" applyFont="1" applyFill="1" applyBorder="1">
      <alignment/>
      <protection/>
    </xf>
    <xf numFmtId="3" fontId="6" fillId="3" borderId="0" xfId="27" applyNumberFormat="1" applyFill="1" applyBorder="1" applyAlignment="1">
      <alignment horizontal="center"/>
      <protection/>
    </xf>
    <xf numFmtId="3" fontId="16" fillId="4" borderId="2" xfId="27" applyNumberFormat="1" applyFont="1" applyFill="1" applyBorder="1" applyAlignment="1">
      <alignment horizontal="center"/>
      <protection/>
    </xf>
    <xf numFmtId="3" fontId="6" fillId="3" borderId="0" xfId="27" applyNumberFormat="1" applyFont="1" applyFill="1" applyBorder="1">
      <alignment/>
      <protection/>
    </xf>
    <xf numFmtId="0" fontId="6" fillId="3" borderId="0" xfId="27" applyFont="1" applyBorder="1" applyAlignment="1" quotePrefix="1">
      <alignment horizontal="center" vertical="center"/>
      <protection/>
    </xf>
    <xf numFmtId="3" fontId="6" fillId="3" borderId="0" xfId="27" applyNumberFormat="1" applyFont="1" applyBorder="1" applyAlignment="1" quotePrefix="1">
      <alignment horizontal="center" vertical="center"/>
      <protection/>
    </xf>
    <xf numFmtId="3" fontId="6" fillId="3" borderId="0" xfId="28" applyNumberFormat="1" applyFont="1" applyFill="1" applyBorder="1">
      <alignment/>
      <protection/>
    </xf>
    <xf numFmtId="3" fontId="6" fillId="3" borderId="9" xfId="27" applyNumberFormat="1" applyFont="1" applyFill="1" applyBorder="1">
      <alignment/>
      <protection/>
    </xf>
    <xf numFmtId="3" fontId="16" fillId="3" borderId="0" xfId="27" applyNumberFormat="1" applyFont="1" applyFill="1" applyBorder="1" applyAlignment="1">
      <alignment horizontal="center"/>
      <protection/>
    </xf>
    <xf numFmtId="0" fontId="6" fillId="3" borderId="33" xfId="27" applyBorder="1" applyAlignment="1">
      <alignment horizontal="center"/>
      <protection/>
    </xf>
    <xf numFmtId="3" fontId="5" fillId="3" borderId="0" xfId="27" applyNumberFormat="1" applyFont="1" applyBorder="1" applyAlignment="1">
      <alignment/>
      <protection/>
    </xf>
    <xf numFmtId="0" fontId="12" fillId="3" borderId="0" xfId="0" applyFont="1" applyFill="1" applyBorder="1" applyAlignment="1">
      <alignment/>
    </xf>
    <xf numFmtId="0" fontId="12" fillId="3" borderId="4" xfId="0" applyFont="1" applyFill="1" applyBorder="1" applyAlignment="1">
      <alignment/>
    </xf>
    <xf numFmtId="0" fontId="12" fillId="3" borderId="0" xfId="0" applyFont="1" applyFill="1" applyAlignment="1">
      <alignment/>
    </xf>
    <xf numFmtId="0" fontId="5" fillId="3" borderId="34" xfId="27" applyFont="1" applyBorder="1">
      <alignment/>
      <protection/>
    </xf>
    <xf numFmtId="0" fontId="5" fillId="3" borderId="9" xfId="27" applyFont="1" applyBorder="1" applyAlignment="1">
      <alignment horizontal="left" vertical="top"/>
      <protection/>
    </xf>
    <xf numFmtId="3" fontId="5" fillId="3" borderId="25" xfId="27" applyNumberFormat="1" applyFont="1" applyBorder="1" applyAlignment="1">
      <alignment/>
      <protection/>
    </xf>
    <xf numFmtId="0" fontId="6" fillId="3" borderId="34" xfId="27" applyFont="1" applyBorder="1">
      <alignment/>
      <protection/>
    </xf>
    <xf numFmtId="0" fontId="6" fillId="3" borderId="9" xfId="27" applyFont="1" applyBorder="1" applyAlignment="1">
      <alignment horizontal="left" vertical="top"/>
      <protection/>
    </xf>
    <xf numFmtId="3" fontId="6" fillId="3" borderId="25" xfId="27" applyNumberFormat="1" applyBorder="1" applyAlignment="1">
      <alignment/>
      <protection/>
    </xf>
    <xf numFmtId="0" fontId="6" fillId="3" borderId="6" xfId="27" applyFont="1" applyBorder="1">
      <alignment/>
      <protection/>
    </xf>
    <xf numFmtId="0" fontId="6" fillId="3" borderId="6" xfId="27" applyFont="1" applyBorder="1" applyAlignment="1">
      <alignment horizontal="left" vertical="top"/>
      <protection/>
    </xf>
    <xf numFmtId="3" fontId="6" fillId="3" borderId="6" xfId="27" applyNumberFormat="1" applyBorder="1" applyAlignment="1">
      <alignment/>
      <protection/>
    </xf>
    <xf numFmtId="0" fontId="6" fillId="3" borderId="6" xfId="27" applyBorder="1" applyAlignment="1">
      <alignment/>
      <protection/>
    </xf>
    <xf numFmtId="0" fontId="5" fillId="3" borderId="0" xfId="27" applyFont="1" applyBorder="1" applyAlignment="1">
      <alignment horizontal="left" vertical="top"/>
      <protection/>
    </xf>
    <xf numFmtId="0" fontId="6" fillId="3" borderId="6" xfId="27" applyBorder="1">
      <alignment/>
      <protection/>
    </xf>
    <xf numFmtId="0" fontId="6" fillId="3" borderId="6" xfId="27" applyFont="1" applyFill="1" applyBorder="1">
      <alignment/>
      <protection/>
    </xf>
    <xf numFmtId="0" fontId="6" fillId="3" borderId="6" xfId="27" applyFill="1" applyBorder="1">
      <alignment/>
      <protection/>
    </xf>
    <xf numFmtId="3" fontId="6" fillId="3" borderId="6" xfId="27" applyNumberFormat="1" applyFill="1" applyBorder="1">
      <alignment/>
      <protection/>
    </xf>
    <xf numFmtId="3" fontId="1" fillId="3" borderId="6" xfId="28" applyNumberFormat="1" applyFill="1" applyBorder="1">
      <alignment/>
      <protection/>
    </xf>
    <xf numFmtId="0" fontId="6" fillId="3" borderId="6" xfId="27" applyFont="1" applyFill="1" applyBorder="1" applyAlignment="1">
      <alignment horizontal="center"/>
      <protection/>
    </xf>
    <xf numFmtId="0" fontId="13" fillId="2" borderId="0" xfId="24" applyFont="1">
      <alignment horizontal="left"/>
      <protection/>
    </xf>
    <xf numFmtId="3" fontId="0" fillId="2" borderId="0" xfId="0" applyNumberFormat="1" applyFill="1" applyAlignment="1">
      <alignment/>
    </xf>
    <xf numFmtId="0" fontId="0" fillId="2" borderId="28" xfId="0" applyFill="1" applyBorder="1" applyAlignment="1">
      <alignment/>
    </xf>
    <xf numFmtId="3" fontId="0" fillId="2" borderId="28" xfId="0" applyNumberFormat="1" applyFill="1" applyBorder="1" applyAlignment="1">
      <alignment/>
    </xf>
    <xf numFmtId="3" fontId="0" fillId="2" borderId="30" xfId="0" applyNumberFormat="1" applyFont="1" applyFill="1" applyBorder="1" applyAlignment="1">
      <alignment/>
    </xf>
    <xf numFmtId="3" fontId="0" fillId="2" borderId="0" xfId="0" applyNumberFormat="1" applyFont="1" applyFill="1" applyBorder="1" applyAlignment="1">
      <alignment/>
    </xf>
    <xf numFmtId="0" fontId="12" fillId="2" borderId="35" xfId="0" applyFont="1" applyFill="1" applyBorder="1" applyAlignment="1">
      <alignment/>
    </xf>
    <xf numFmtId="3" fontId="12" fillId="2" borderId="35" xfId="0" applyNumberFormat="1" applyFont="1" applyFill="1" applyBorder="1" applyAlignment="1">
      <alignment/>
    </xf>
    <xf numFmtId="0" fontId="12" fillId="2" borderId="0" xfId="0" applyFont="1" applyFill="1" applyBorder="1" applyAlignment="1">
      <alignment/>
    </xf>
    <xf numFmtId="0" fontId="0" fillId="2" borderId="0" xfId="0" applyFill="1" applyBorder="1" applyAlignment="1">
      <alignment/>
    </xf>
    <xf numFmtId="3" fontId="0" fillId="2" borderId="0" xfId="0" applyNumberFormat="1" applyFill="1" applyBorder="1" applyAlignment="1">
      <alignment/>
    </xf>
    <xf numFmtId="3" fontId="12" fillId="2" borderId="0" xfId="0" applyNumberFormat="1" applyFont="1" applyFill="1" applyBorder="1" applyAlignment="1">
      <alignment/>
    </xf>
    <xf numFmtId="3" fontId="12" fillId="2" borderId="0" xfId="0" applyNumberFormat="1" applyFont="1" applyFill="1" applyAlignment="1">
      <alignment/>
    </xf>
    <xf numFmtId="0" fontId="0" fillId="2" borderId="29" xfId="0" applyFill="1" applyBorder="1" applyAlignment="1">
      <alignment/>
    </xf>
    <xf numFmtId="0" fontId="12" fillId="2" borderId="29" xfId="0" applyFont="1" applyFill="1" applyBorder="1" applyAlignment="1">
      <alignment/>
    </xf>
    <xf numFmtId="3" fontId="12" fillId="2" borderId="29" xfId="0" applyNumberFormat="1" applyFont="1" applyFill="1" applyBorder="1" applyAlignment="1">
      <alignment/>
    </xf>
    <xf numFmtId="0" fontId="0" fillId="2" borderId="28" xfId="0" applyFont="1" applyFill="1" applyBorder="1" applyAlignment="1">
      <alignment/>
    </xf>
    <xf numFmtId="3" fontId="0" fillId="2" borderId="0" xfId="0" applyNumberFormat="1" applyFont="1" applyFill="1" applyAlignment="1">
      <alignment/>
    </xf>
    <xf numFmtId="3" fontId="0" fillId="2" borderId="28" xfId="0" applyNumberFormat="1" applyFont="1" applyFill="1" applyBorder="1" applyAlignment="1">
      <alignment/>
    </xf>
    <xf numFmtId="0" fontId="0" fillId="2" borderId="28" xfId="0" applyFont="1" applyFill="1" applyBorder="1" applyAlignment="1">
      <alignment horizontal="right"/>
    </xf>
    <xf numFmtId="0" fontId="0" fillId="2" borderId="0" xfId="0" applyFont="1" applyFill="1" applyBorder="1" applyAlignment="1">
      <alignment/>
    </xf>
    <xf numFmtId="0" fontId="1" fillId="2" borderId="0" xfId="0" applyFont="1" applyFill="1" applyBorder="1" applyAlignment="1">
      <alignment horizontal="center" vertical="center"/>
    </xf>
    <xf numFmtId="0" fontId="1" fillId="6" borderId="36" xfId="0" applyFont="1" applyFill="1" applyBorder="1" applyAlignment="1">
      <alignment horizontal="center" vertical="center"/>
    </xf>
    <xf numFmtId="0" fontId="0" fillId="3" borderId="13" xfId="0" applyFill="1" applyBorder="1" applyAlignment="1">
      <alignment/>
    </xf>
    <xf numFmtId="0" fontId="0" fillId="3" borderId="12" xfId="0" applyFill="1" applyBorder="1" applyAlignment="1">
      <alignment/>
    </xf>
    <xf numFmtId="0" fontId="0" fillId="3" borderId="14" xfId="0" applyFill="1" applyBorder="1" applyAlignment="1">
      <alignment/>
    </xf>
    <xf numFmtId="3" fontId="6" fillId="3" borderId="0" xfId="27" applyNumberFormat="1" applyFont="1" applyBorder="1">
      <alignment/>
      <protection/>
    </xf>
    <xf numFmtId="3" fontId="19" fillId="3" borderId="0" xfId="0" applyNumberFormat="1" applyFont="1" applyFill="1" applyAlignment="1">
      <alignment/>
    </xf>
    <xf numFmtId="0" fontId="31" fillId="3" borderId="0" xfId="0" applyFont="1" applyFill="1" applyAlignment="1">
      <alignment/>
    </xf>
    <xf numFmtId="0" fontId="6" fillId="3" borderId="6" xfId="27" applyFont="1" applyBorder="1" applyAlignment="1">
      <alignment horizontal="center"/>
      <protection/>
    </xf>
    <xf numFmtId="0" fontId="6" fillId="3" borderId="13" xfId="27" applyBorder="1">
      <alignment/>
      <protection/>
    </xf>
    <xf numFmtId="3" fontId="6" fillId="3" borderId="12" xfId="27" applyNumberFormat="1" applyBorder="1">
      <alignment/>
      <protection/>
    </xf>
    <xf numFmtId="0" fontId="5" fillId="3" borderId="4" xfId="0" applyFont="1" applyFill="1" applyBorder="1" applyAlignment="1">
      <alignment horizontal="center"/>
    </xf>
    <xf numFmtId="0" fontId="33" fillId="3" borderId="0" xfId="0" applyFont="1" applyFill="1" applyBorder="1" applyAlignment="1">
      <alignment horizontal="center" vertical="center"/>
    </xf>
    <xf numFmtId="3" fontId="6" fillId="3" borderId="32" xfId="27" applyNumberFormat="1" applyFont="1" applyFill="1" applyBorder="1">
      <alignment/>
      <protection/>
    </xf>
    <xf numFmtId="0" fontId="5" fillId="3" borderId="1" xfId="0" applyFont="1" applyFill="1" applyBorder="1" applyAlignment="1">
      <alignment horizontal="center"/>
    </xf>
    <xf numFmtId="0" fontId="19" fillId="3" borderId="0" xfId="23" applyFont="1" applyFill="1" applyBorder="1">
      <alignment/>
      <protection/>
    </xf>
    <xf numFmtId="3" fontId="35" fillId="3" borderId="0" xfId="0" applyNumberFormat="1" applyFont="1" applyFill="1" applyBorder="1" applyAlignment="1">
      <alignment/>
    </xf>
    <xf numFmtId="0" fontId="4" fillId="3" borderId="12" xfId="0" applyFont="1" applyFill="1" applyBorder="1" applyAlignment="1">
      <alignment horizontal="center"/>
    </xf>
    <xf numFmtId="0" fontId="4" fillId="3" borderId="14" xfId="0" applyFont="1" applyFill="1" applyBorder="1" applyAlignment="1">
      <alignment horizontal="center"/>
    </xf>
    <xf numFmtId="49" fontId="1" fillId="4" borderId="2" xfId="0" applyNumberFormat="1" applyFont="1" applyFill="1" applyBorder="1" applyAlignment="1">
      <alignment/>
    </xf>
    <xf numFmtId="0" fontId="4" fillId="3" borderId="13" xfId="0" applyFont="1" applyFill="1" applyBorder="1" applyAlignment="1">
      <alignment horizontal="center"/>
    </xf>
    <xf numFmtId="0" fontId="1" fillId="2" borderId="2" xfId="0" applyFont="1" applyFill="1" applyBorder="1" applyAlignment="1">
      <alignment/>
    </xf>
    <xf numFmtId="0" fontId="1" fillId="2" borderId="2" xfId="0" applyFont="1" applyFill="1" applyBorder="1" applyAlignment="1">
      <alignment/>
    </xf>
    <xf numFmtId="0" fontId="1" fillId="2" borderId="8" xfId="0" applyFont="1" applyFill="1" applyBorder="1" applyAlignment="1">
      <alignment/>
    </xf>
    <xf numFmtId="49" fontId="1" fillId="2" borderId="8" xfId="0" applyNumberFormat="1" applyFont="1" applyFill="1" applyBorder="1" applyAlignment="1">
      <alignment horizontal="center"/>
    </xf>
    <xf numFmtId="49" fontId="1" fillId="2" borderId="2" xfId="0" applyNumberFormat="1" applyFont="1" applyFill="1" applyBorder="1" applyAlignment="1">
      <alignment horizontal="center"/>
    </xf>
    <xf numFmtId="3" fontId="15" fillId="4" borderId="17" xfId="28" applyNumberFormat="1" applyFont="1" applyBorder="1">
      <alignment/>
      <protection/>
    </xf>
    <xf numFmtId="3" fontId="15" fillId="4" borderId="37" xfId="28" applyNumberFormat="1" applyFont="1" applyBorder="1">
      <alignment/>
      <protection/>
    </xf>
    <xf numFmtId="3" fontId="15" fillId="5" borderId="17" xfId="28" applyNumberFormat="1" applyFont="1" applyFill="1" applyBorder="1">
      <alignment/>
      <protection/>
    </xf>
    <xf numFmtId="3" fontId="15" fillId="5" borderId="18" xfId="28" applyNumberFormat="1" applyFont="1" applyFill="1" applyBorder="1">
      <alignment/>
      <protection/>
    </xf>
    <xf numFmtId="3" fontId="1" fillId="4" borderId="17" xfId="28" applyNumberFormat="1" applyFill="1" applyBorder="1">
      <alignment/>
      <protection/>
    </xf>
    <xf numFmtId="3" fontId="1" fillId="4" borderId="38" xfId="28" applyNumberFormat="1" applyFill="1" applyBorder="1">
      <alignment/>
      <protection/>
    </xf>
    <xf numFmtId="3" fontId="1" fillId="5" borderId="38" xfId="28" applyNumberFormat="1" applyFill="1" applyBorder="1">
      <alignment/>
      <protection/>
    </xf>
    <xf numFmtId="3" fontId="15" fillId="4" borderId="17" xfId="28" applyNumberFormat="1" applyFont="1" applyFill="1" applyBorder="1">
      <alignment/>
      <protection/>
    </xf>
    <xf numFmtId="0" fontId="30" fillId="3" borderId="1" xfId="0" applyFont="1" applyFill="1" applyBorder="1" applyAlignment="1">
      <alignment horizontal="center" wrapText="1"/>
    </xf>
    <xf numFmtId="0" fontId="0" fillId="3" borderId="0" xfId="0" applyFill="1" applyBorder="1" applyAlignment="1">
      <alignment horizontal="center"/>
    </xf>
    <xf numFmtId="0" fontId="0" fillId="3" borderId="1" xfId="0" applyFill="1" applyBorder="1" applyAlignment="1">
      <alignment horizontal="center"/>
    </xf>
    <xf numFmtId="0" fontId="22" fillId="3" borderId="11"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3" fillId="3" borderId="11" xfId="0" applyFont="1" applyFill="1" applyBorder="1" applyAlignment="1">
      <alignment horizontal="center" vertical="center"/>
    </xf>
    <xf numFmtId="0" fontId="7" fillId="2" borderId="34" xfId="0" applyFont="1" applyFill="1" applyBorder="1" applyAlignment="1">
      <alignment/>
    </xf>
    <xf numFmtId="0" fontId="7" fillId="2" borderId="9" xfId="0" applyFont="1" applyFill="1" applyBorder="1" applyAlignment="1">
      <alignment/>
    </xf>
    <xf numFmtId="0" fontId="7" fillId="2" borderId="25" xfId="0" applyFont="1" applyFill="1" applyBorder="1" applyAlignment="1">
      <alignment/>
    </xf>
    <xf numFmtId="49" fontId="1" fillId="2" borderId="2" xfId="0" applyNumberFormat="1" applyFont="1" applyFill="1" applyBorder="1" applyAlignment="1">
      <alignment/>
    </xf>
    <xf numFmtId="0" fontId="1" fillId="2" borderId="34" xfId="0" applyFont="1" applyFill="1" applyBorder="1" applyAlignment="1">
      <alignment/>
    </xf>
    <xf numFmtId="0" fontId="1" fillId="2" borderId="25" xfId="0" applyFont="1" applyFill="1" applyBorder="1" applyAlignment="1">
      <alignment/>
    </xf>
    <xf numFmtId="0" fontId="1" fillId="2" borderId="34" xfId="0" applyFont="1" applyFill="1" applyBorder="1" applyAlignment="1">
      <alignment/>
    </xf>
    <xf numFmtId="0" fontId="1" fillId="2" borderId="9" xfId="0" applyFont="1" applyFill="1" applyBorder="1" applyAlignment="1">
      <alignment/>
    </xf>
    <xf numFmtId="0" fontId="1" fillId="2" borderId="25" xfId="0" applyFont="1" applyFill="1" applyBorder="1" applyAlignment="1">
      <alignment/>
    </xf>
    <xf numFmtId="0" fontId="1" fillId="3" borderId="0" xfId="0" applyFont="1" applyFill="1" applyBorder="1" applyAlignment="1">
      <alignment/>
    </xf>
    <xf numFmtId="0" fontId="1" fillId="2" borderId="2" xfId="0" applyFont="1" applyFill="1" applyBorder="1" applyAlignment="1">
      <alignment/>
    </xf>
    <xf numFmtId="49" fontId="1" fillId="2" borderId="2" xfId="0" applyNumberFormat="1" applyFont="1" applyFill="1" applyBorder="1" applyAlignment="1">
      <alignment horizontal="left"/>
    </xf>
    <xf numFmtId="0" fontId="6" fillId="3" borderId="19" xfId="27" applyBorder="1" applyAlignment="1">
      <alignment horizontal="center"/>
      <protection/>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0" fillId="3" borderId="12" xfId="0" applyFill="1" applyBorder="1" applyAlignment="1">
      <alignment horizontal="center"/>
    </xf>
    <xf numFmtId="0" fontId="0" fillId="3" borderId="6" xfId="0" applyFill="1" applyBorder="1" applyAlignment="1">
      <alignment horizontal="center"/>
    </xf>
    <xf numFmtId="0" fontId="22" fillId="3" borderId="12"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6" fillId="3" borderId="32" xfId="27" applyBorder="1">
      <alignment/>
      <protection/>
    </xf>
    <xf numFmtId="0" fontId="6" fillId="3" borderId="32" xfId="27" applyFont="1" applyBorder="1">
      <alignment/>
      <protection/>
    </xf>
    <xf numFmtId="0" fontId="1" fillId="5" borderId="34" xfId="28" applyFont="1" applyFill="1" applyBorder="1" applyAlignment="1">
      <alignment horizontal="left" vertical="top" wrapText="1"/>
      <protection/>
    </xf>
    <xf numFmtId="0" fontId="1" fillId="5" borderId="9" xfId="28" applyFont="1" applyFill="1" applyBorder="1" applyAlignment="1">
      <alignment horizontal="left" vertical="top" wrapText="1"/>
      <protection/>
    </xf>
    <xf numFmtId="0" fontId="1" fillId="5" borderId="25" xfId="28" applyFont="1" applyFill="1" applyBorder="1" applyAlignment="1">
      <alignment horizontal="left" vertical="top" wrapText="1"/>
      <protection/>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6" fillId="3" borderId="0" xfId="27" applyBorder="1">
      <alignment/>
      <protection/>
    </xf>
    <xf numFmtId="0" fontId="1" fillId="4" borderId="34" xfId="28" applyFont="1" applyFill="1" applyBorder="1" applyAlignment="1">
      <alignment vertical="top" wrapText="1"/>
      <protection/>
    </xf>
    <xf numFmtId="0" fontId="1" fillId="4" borderId="9" xfId="28" applyFont="1" applyFill="1" applyBorder="1" applyAlignment="1">
      <alignment vertical="top" wrapText="1"/>
      <protection/>
    </xf>
    <xf numFmtId="0" fontId="1" fillId="5" borderId="33" xfId="28" applyFont="1" applyFill="1" applyBorder="1" applyAlignment="1">
      <alignment horizontal="left" vertical="top" wrapText="1"/>
      <protection/>
    </xf>
    <xf numFmtId="0" fontId="1" fillId="5" borderId="39" xfId="28" applyFont="1" applyFill="1" applyBorder="1" applyAlignment="1">
      <alignment horizontal="left" vertical="top" wrapText="1"/>
      <protection/>
    </xf>
    <xf numFmtId="0" fontId="1" fillId="5" borderId="32" xfId="28" applyFont="1" applyFill="1" applyBorder="1" applyAlignment="1">
      <alignment horizontal="left" vertical="top" wrapText="1"/>
      <protection/>
    </xf>
    <xf numFmtId="0" fontId="1" fillId="5" borderId="40" xfId="28" applyFont="1" applyFill="1" applyBorder="1" applyAlignment="1">
      <alignment horizontal="left" vertical="top" wrapText="1"/>
      <protection/>
    </xf>
    <xf numFmtId="0" fontId="1" fillId="5" borderId="9" xfId="28" applyFill="1" applyBorder="1" applyAlignment="1">
      <alignment horizontal="left" vertical="top" wrapText="1"/>
      <protection/>
    </xf>
    <xf numFmtId="0" fontId="1" fillId="5" borderId="25" xfId="28" applyFill="1" applyBorder="1" applyAlignment="1">
      <alignment horizontal="left" vertical="top" wrapText="1"/>
      <protection/>
    </xf>
    <xf numFmtId="0" fontId="6" fillId="3" borderId="0" xfId="27" applyFont="1" applyBorder="1">
      <alignment/>
      <protection/>
    </xf>
    <xf numFmtId="0" fontId="1" fillId="4" borderId="41" xfId="28" applyFont="1" applyFill="1" applyBorder="1" applyAlignment="1">
      <alignment horizontal="left" vertical="top" wrapText="1"/>
      <protection/>
    </xf>
    <xf numFmtId="0" fontId="1" fillId="4" borderId="0" xfId="28" applyFont="1" applyFill="1" applyBorder="1" applyAlignment="1">
      <alignment horizontal="left" vertical="top" wrapText="1"/>
      <protection/>
    </xf>
    <xf numFmtId="0" fontId="6" fillId="3" borderId="0" xfId="27" applyFont="1" applyBorder="1" applyAlignment="1">
      <alignment horizontal="left" vertical="top" wrapText="1"/>
      <protection/>
    </xf>
    <xf numFmtId="3" fontId="16" fillId="3" borderId="0" xfId="27" applyNumberFormat="1" applyFont="1" applyFill="1" applyBorder="1" applyAlignment="1">
      <alignment horizontal="center"/>
      <protection/>
    </xf>
    <xf numFmtId="0" fontId="32" fillId="6" borderId="13" xfId="0" applyFont="1" applyFill="1" applyBorder="1" applyAlignment="1">
      <alignment horizontal="center" vertical="center"/>
    </xf>
    <xf numFmtId="0" fontId="32" fillId="6" borderId="14" xfId="0" applyFont="1" applyFill="1" applyBorder="1" applyAlignment="1">
      <alignment horizontal="center" vertical="center"/>
    </xf>
    <xf numFmtId="0" fontId="32" fillId="6" borderId="1" xfId="0" applyFont="1" applyFill="1" applyBorder="1" applyAlignment="1">
      <alignment horizontal="center" vertical="center"/>
    </xf>
    <xf numFmtId="0" fontId="32" fillId="6" borderId="4" xfId="0" applyFont="1" applyFill="1" applyBorder="1" applyAlignment="1">
      <alignment horizontal="center" vertical="center"/>
    </xf>
    <xf numFmtId="0" fontId="33" fillId="3" borderId="13"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14"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7" xfId="0" applyFont="1" applyFill="1" applyBorder="1" applyAlignment="1">
      <alignment horizontal="center" vertical="center"/>
    </xf>
    <xf numFmtId="0" fontId="27" fillId="3" borderId="0" xfId="27" applyFont="1" applyBorder="1" applyAlignment="1">
      <alignment horizontal="center"/>
      <protection/>
    </xf>
    <xf numFmtId="0" fontId="6" fillId="3" borderId="0" xfId="27" applyFont="1" applyBorder="1" applyAlignment="1">
      <alignment vertical="top" wrapText="1"/>
      <protection/>
    </xf>
    <xf numFmtId="0" fontId="6" fillId="3" borderId="1" xfId="27" applyFont="1" applyBorder="1" applyAlignment="1">
      <alignment horizontal="center"/>
      <protection/>
    </xf>
    <xf numFmtId="0" fontId="6" fillId="3" borderId="0" xfId="27" applyBorder="1" applyAlignment="1">
      <alignment horizontal="center"/>
      <protection/>
    </xf>
    <xf numFmtId="0" fontId="6" fillId="3" borderId="4" xfId="27" applyBorder="1" applyAlignment="1">
      <alignment horizontal="center"/>
      <protection/>
    </xf>
    <xf numFmtId="0" fontId="0" fillId="2" borderId="0" xfId="0" applyNumberFormat="1" applyFont="1" applyFill="1" applyAlignment="1">
      <alignment wrapText="1"/>
    </xf>
    <xf numFmtId="0" fontId="0" fillId="2" borderId="0" xfId="0" applyFill="1" applyAlignment="1">
      <alignment wrapText="1"/>
    </xf>
    <xf numFmtId="0" fontId="11" fillId="2" borderId="0" xfId="19" applyNumberFormat="1" applyFill="1">
      <alignment horizontal="center" wrapText="1"/>
      <protection/>
    </xf>
    <xf numFmtId="0" fontId="11" fillId="2" borderId="0" xfId="19" applyFill="1">
      <alignment horizontal="center" wrapText="1"/>
      <protection/>
    </xf>
    <xf numFmtId="0" fontId="0" fillId="2" borderId="0" xfId="18" applyFill="1">
      <alignment horizontal="center" wrapText="1"/>
      <protection/>
    </xf>
    <xf numFmtId="0" fontId="0" fillId="2" borderId="0" xfId="0" applyNumberFormat="1" applyFont="1" applyFill="1" applyAlignment="1">
      <alignment horizontal="left" vertical="top" wrapText="1"/>
    </xf>
    <xf numFmtId="0" fontId="0" fillId="2" borderId="0" xfId="0" applyNumberFormat="1" applyFont="1" applyFill="1" applyAlignment="1" quotePrefix="1">
      <alignment/>
    </xf>
    <xf numFmtId="0" fontId="13" fillId="2" borderId="0" xfId="24" applyFill="1">
      <alignment horizontal="left"/>
      <protection/>
    </xf>
    <xf numFmtId="0" fontId="12" fillId="2" borderId="0" xfId="25" applyFill="1">
      <alignment/>
      <protection/>
    </xf>
    <xf numFmtId="0" fontId="0" fillId="2" borderId="0" xfId="0" applyNumberFormat="1" applyFont="1" applyFill="1" applyAlignment="1">
      <alignment/>
    </xf>
    <xf numFmtId="0" fontId="12" fillId="2" borderId="0" xfId="0" applyNumberFormat="1" applyFont="1" applyFill="1" applyAlignment="1">
      <alignment/>
    </xf>
    <xf numFmtId="0" fontId="0" fillId="2" borderId="0" xfId="23" applyNumberFormat="1" applyFill="1">
      <alignment/>
      <protection/>
    </xf>
    <xf numFmtId="183" fontId="0" fillId="2" borderId="0" xfId="23" applyNumberFormat="1" applyFill="1">
      <alignment/>
      <protection/>
    </xf>
    <xf numFmtId="0" fontId="0" fillId="2" borderId="0" xfId="0" applyFill="1" applyAlignment="1">
      <alignment horizontal="right"/>
    </xf>
    <xf numFmtId="0" fontId="0" fillId="2" borderId="0" xfId="23" applyFill="1">
      <alignment/>
      <protection/>
    </xf>
    <xf numFmtId="0" fontId="0" fillId="2" borderId="0" xfId="0" applyFill="1" applyAlignment="1">
      <alignment vertical="top" wrapText="1"/>
    </xf>
    <xf numFmtId="0" fontId="0" fillId="2" borderId="0" xfId="0" applyFont="1" applyFill="1" applyAlignment="1">
      <alignment vertical="top" wrapText="1"/>
    </xf>
    <xf numFmtId="0" fontId="10" fillId="3" borderId="0" xfId="0" applyFont="1" applyFill="1" applyAlignment="1">
      <alignment/>
    </xf>
    <xf numFmtId="0" fontId="19" fillId="5" borderId="9" xfId="0" applyFont="1" applyFill="1" applyBorder="1" applyAlignment="1">
      <alignment horizontal="center"/>
    </xf>
    <xf numFmtId="0" fontId="19" fillId="5" borderId="25" xfId="0" applyFont="1" applyFill="1" applyBorder="1" applyAlignment="1">
      <alignment horizontal="center"/>
    </xf>
    <xf numFmtId="0" fontId="10" fillId="3" borderId="0" xfId="0" applyFont="1" applyFill="1" applyAlignment="1">
      <alignment/>
    </xf>
    <xf numFmtId="0" fontId="18" fillId="3" borderId="0" xfId="0" applyFont="1" applyFill="1" applyAlignment="1">
      <alignment/>
    </xf>
    <xf numFmtId="0" fontId="25" fillId="3" borderId="1" xfId="27" applyFont="1">
      <alignment/>
      <protection/>
    </xf>
    <xf numFmtId="3" fontId="0" fillId="2" borderId="0" xfId="23" applyNumberFormat="1" applyFont="1" applyFill="1">
      <alignment/>
      <protection/>
    </xf>
    <xf numFmtId="3" fontId="12" fillId="2" borderId="42" xfId="23" applyNumberFormat="1" applyFont="1" applyFill="1" applyBorder="1">
      <alignment/>
      <protection/>
    </xf>
  </cellXfs>
  <cellStyles count="15">
    <cellStyle name="Normal" xfId="0"/>
    <cellStyle name="Followed Hyperlink" xfId="15"/>
    <cellStyle name="Hyperlink" xfId="16"/>
    <cellStyle name="Percent" xfId="17"/>
    <cellStyle name="pVKa forside Normal" xfId="18"/>
    <cellStyle name="pVKa forside overskrift 1" xfId="19"/>
    <cellStyle name="pVKa Indhold Normal" xfId="20"/>
    <cellStyle name="pVKa Indhold Overskrift 1" xfId="21"/>
    <cellStyle name="pVKa Indhold Overskrift 2" xfId="22"/>
    <cellStyle name="pVKa Normal" xfId="23"/>
    <cellStyle name="pVKa Overskrift 1" xfId="24"/>
    <cellStyle name="pVKa Overskrift 2" xfId="25"/>
    <cellStyle name="pVKa Overskrift 3" xfId="26"/>
    <cellStyle name="pVKa Stam og Input Normal" xfId="27"/>
    <cellStyle name="pVKa Stam og Input Normal S" xfId="28"/>
  </cellStyles>
  <dxfs count="4">
    <dxf>
      <font>
        <color rgb="FF99CCFF"/>
      </font>
      <fill>
        <patternFill patternType="solid">
          <bgColor rgb="FF99CCFF"/>
        </patternFill>
      </fill>
      <border/>
    </dxf>
    <dxf>
      <font>
        <color rgb="FF99CCFF"/>
      </font>
      <fill>
        <patternFill>
          <bgColor rgb="FF99CCFF"/>
        </patternFill>
      </fill>
      <border/>
    </dxf>
    <dxf>
      <font>
        <color rgb="FFFF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46</xdr:row>
      <xdr:rowOff>57150</xdr:rowOff>
    </xdr:from>
    <xdr:ext cx="314325" cy="200025"/>
    <xdr:sp>
      <xdr:nvSpPr>
        <xdr:cNvPr id="1" name="TextBox 4"/>
        <xdr:cNvSpPr txBox="1">
          <a:spLocks noChangeArrowheads="1"/>
        </xdr:cNvSpPr>
      </xdr:nvSpPr>
      <xdr:spPr>
        <a:xfrm>
          <a:off x="228600" y="7200900"/>
          <a:ext cx="314325" cy="200025"/>
        </a:xfrm>
        <a:prstGeom prst="rect">
          <a:avLst/>
        </a:prstGeom>
        <a:solidFill>
          <a:srgbClr val="000080"/>
        </a:solidFill>
        <a:ln w="9525" cmpd="sng">
          <a:noFill/>
        </a:ln>
      </xdr:spPr>
      <xdr:txBody>
        <a:bodyPr vertOverflow="clip" wrap="square">
          <a:spAutoFit/>
        </a:bodyPr>
        <a:p>
          <a:pPr algn="l">
            <a:defRPr/>
          </a:pPr>
          <a:r>
            <a:rPr lang="en-US" cap="none" sz="1000" b="0" i="0" u="none" baseline="0">
              <a:solidFill>
                <a:srgbClr val="C0C0C0"/>
              </a:solidFill>
              <a:latin typeface="Arial"/>
              <a:ea typeface="Arial"/>
              <a:cs typeface="Arial"/>
            </a:rPr>
            <a:t>ApS</a:t>
          </a:r>
        </a:p>
      </xdr:txBody>
    </xdr:sp>
    <xdr:clientData/>
  </xdr:oneCellAnchor>
  <xdr:oneCellAnchor>
    <xdr:from>
      <xdr:col>2</xdr:col>
      <xdr:colOff>180975</xdr:colOff>
      <xdr:row>48</xdr:row>
      <xdr:rowOff>9525</xdr:rowOff>
    </xdr:from>
    <xdr:ext cx="981075" cy="180975"/>
    <xdr:sp>
      <xdr:nvSpPr>
        <xdr:cNvPr id="2" name="TextBox 7"/>
        <xdr:cNvSpPr txBox="1">
          <a:spLocks noChangeArrowheads="1"/>
        </xdr:cNvSpPr>
      </xdr:nvSpPr>
      <xdr:spPr>
        <a:xfrm>
          <a:off x="2009775" y="7400925"/>
          <a:ext cx="981075" cy="180975"/>
        </a:xfrm>
        <a:prstGeom prst="rect">
          <a:avLst/>
        </a:prstGeom>
        <a:noFill/>
        <a:ln w="9525" cmpd="sng">
          <a:noFill/>
        </a:ln>
      </xdr:spPr>
      <xdr:txBody>
        <a:bodyPr vertOverflow="clip" wrap="square">
          <a:spAutoFit/>
        </a:bodyPr>
        <a:p>
          <a:pPr algn="l">
            <a:defRPr/>
          </a:pPr>
          <a:r>
            <a:rPr lang="en-US" cap="none" sz="800" b="0" i="0" u="none" baseline="0">
              <a:solidFill>
                <a:srgbClr val="C0C0C0"/>
              </a:solidFill>
              <a:latin typeface="Arial"/>
              <a:ea typeface="Arial"/>
              <a:cs typeface="Arial"/>
            </a:rPr>
            <a:t>Anvendelse af ApS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27</xdr:row>
      <xdr:rowOff>123825</xdr:rowOff>
    </xdr:from>
    <xdr:to>
      <xdr:col>14</xdr:col>
      <xdr:colOff>47625</xdr:colOff>
      <xdr:row>34</xdr:row>
      <xdr:rowOff>66675</xdr:rowOff>
    </xdr:to>
    <xdr:sp>
      <xdr:nvSpPr>
        <xdr:cNvPr id="1" name="Rectangle 99"/>
        <xdr:cNvSpPr>
          <a:spLocks/>
        </xdr:cNvSpPr>
      </xdr:nvSpPr>
      <xdr:spPr>
        <a:xfrm>
          <a:off x="171450" y="4724400"/>
          <a:ext cx="5743575" cy="11620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35</xdr:row>
      <xdr:rowOff>123825</xdr:rowOff>
    </xdr:from>
    <xdr:to>
      <xdr:col>14</xdr:col>
      <xdr:colOff>47625</xdr:colOff>
      <xdr:row>38</xdr:row>
      <xdr:rowOff>66675</xdr:rowOff>
    </xdr:to>
    <xdr:sp>
      <xdr:nvSpPr>
        <xdr:cNvPr id="2" name="Rectangle 100"/>
        <xdr:cNvSpPr>
          <a:spLocks/>
        </xdr:cNvSpPr>
      </xdr:nvSpPr>
      <xdr:spPr>
        <a:xfrm>
          <a:off x="171450" y="6096000"/>
          <a:ext cx="5743575" cy="1924050"/>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571500</xdr:colOff>
      <xdr:row>27</xdr:row>
      <xdr:rowOff>38100</xdr:rowOff>
    </xdr:from>
    <xdr:ext cx="1238250" cy="190500"/>
    <xdr:sp>
      <xdr:nvSpPr>
        <xdr:cNvPr id="3" name="TextBox 101"/>
        <xdr:cNvSpPr txBox="1">
          <a:spLocks noChangeArrowheads="1"/>
        </xdr:cNvSpPr>
      </xdr:nvSpPr>
      <xdr:spPr>
        <a:xfrm>
          <a:off x="2457450" y="4638675"/>
          <a:ext cx="1238250" cy="190500"/>
        </a:xfrm>
        <a:prstGeom prst="rect">
          <a:avLst/>
        </a:prstGeom>
        <a:solidFill>
          <a:srgbClr val="000080"/>
        </a:solidFill>
        <a:ln w="9525" cmpd="sng">
          <a:solidFill>
            <a:srgbClr val="C0C0C0"/>
          </a:solidFill>
          <a:headEnd type="none"/>
          <a:tailEnd type="none"/>
        </a:ln>
      </xdr:spPr>
      <xdr:txBody>
        <a:bodyPr vertOverflow="clip" wrap="square">
          <a:spAutoFit/>
        </a:bodyPr>
        <a:p>
          <a:pPr algn="l">
            <a:defRPr/>
          </a:pPr>
          <a:r>
            <a:rPr lang="en-US" cap="none" sz="1000" b="0" i="0" u="none" baseline="0">
              <a:solidFill>
                <a:srgbClr val="C0C0C0"/>
              </a:solidFill>
              <a:latin typeface="Arial"/>
              <a:ea typeface="Arial"/>
              <a:cs typeface="Arial"/>
            </a:rPr>
            <a:t>Personlig virksomhed</a:t>
          </a:r>
        </a:p>
      </xdr:txBody>
    </xdr:sp>
    <xdr:clientData/>
  </xdr:oneCellAnchor>
  <xdr:oneCellAnchor>
    <xdr:from>
      <xdr:col>7</xdr:col>
      <xdr:colOff>9525</xdr:colOff>
      <xdr:row>35</xdr:row>
      <xdr:rowOff>28575</xdr:rowOff>
    </xdr:from>
    <xdr:ext cx="923925" cy="190500"/>
    <xdr:sp>
      <xdr:nvSpPr>
        <xdr:cNvPr id="4" name="TextBox 102"/>
        <xdr:cNvSpPr txBox="1">
          <a:spLocks noChangeArrowheads="1"/>
        </xdr:cNvSpPr>
      </xdr:nvSpPr>
      <xdr:spPr>
        <a:xfrm>
          <a:off x="2609850" y="6000750"/>
          <a:ext cx="923925" cy="190500"/>
        </a:xfrm>
        <a:prstGeom prst="rect">
          <a:avLst/>
        </a:prstGeom>
        <a:solidFill>
          <a:srgbClr val="000080"/>
        </a:solidFill>
        <a:ln w="9525" cmpd="sng">
          <a:solidFill>
            <a:srgbClr val="C0C0C0"/>
          </a:solidFill>
          <a:headEnd type="none"/>
          <a:tailEnd type="none"/>
        </a:ln>
      </xdr:spPr>
      <xdr:txBody>
        <a:bodyPr vertOverflow="clip" wrap="square">
          <a:spAutoFit/>
        </a:bodyPr>
        <a:p>
          <a:pPr algn="l">
            <a:defRPr/>
          </a:pPr>
          <a:r>
            <a:rPr lang="en-US" cap="none" sz="1000" b="0" i="0" u="none" baseline="0">
              <a:solidFill>
                <a:srgbClr val="C0C0C0"/>
              </a:solidFill>
              <a:latin typeface="Arial"/>
              <a:ea typeface="Arial"/>
              <a:cs typeface="Arial"/>
            </a:rPr>
            <a:t>Anpartsselskab</a:t>
          </a:r>
        </a:p>
      </xdr:txBody>
    </xdr:sp>
    <xdr:clientData/>
  </xdr:oneCellAnchor>
  <xdr:oneCellAnchor>
    <xdr:from>
      <xdr:col>13</xdr:col>
      <xdr:colOff>276225</xdr:colOff>
      <xdr:row>9</xdr:row>
      <xdr:rowOff>142875</xdr:rowOff>
    </xdr:from>
    <xdr:ext cx="409575" cy="180975"/>
    <xdr:sp>
      <xdr:nvSpPr>
        <xdr:cNvPr id="5" name="TextBox 123"/>
        <xdr:cNvSpPr txBox="1">
          <a:spLocks noChangeArrowheads="1"/>
        </xdr:cNvSpPr>
      </xdr:nvSpPr>
      <xdr:spPr>
        <a:xfrm>
          <a:off x="5429250" y="15430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16</xdr:row>
      <xdr:rowOff>142875</xdr:rowOff>
    </xdr:from>
    <xdr:ext cx="409575" cy="180975"/>
    <xdr:sp>
      <xdr:nvSpPr>
        <xdr:cNvPr id="6" name="TextBox 125"/>
        <xdr:cNvSpPr txBox="1">
          <a:spLocks noChangeArrowheads="1"/>
        </xdr:cNvSpPr>
      </xdr:nvSpPr>
      <xdr:spPr>
        <a:xfrm>
          <a:off x="5429250" y="27622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24</xdr:row>
      <xdr:rowOff>142875</xdr:rowOff>
    </xdr:from>
    <xdr:ext cx="409575" cy="180975"/>
    <xdr:sp>
      <xdr:nvSpPr>
        <xdr:cNvPr id="7" name="TextBox 127"/>
        <xdr:cNvSpPr txBox="1">
          <a:spLocks noChangeArrowheads="1"/>
        </xdr:cNvSpPr>
      </xdr:nvSpPr>
      <xdr:spPr>
        <a:xfrm>
          <a:off x="5429250" y="42862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30</xdr:row>
      <xdr:rowOff>0</xdr:rowOff>
    </xdr:from>
    <xdr:ext cx="409575" cy="180975"/>
    <xdr:sp>
      <xdr:nvSpPr>
        <xdr:cNvPr id="8" name="TextBox 129"/>
        <xdr:cNvSpPr txBox="1">
          <a:spLocks noChangeArrowheads="1"/>
        </xdr:cNvSpPr>
      </xdr:nvSpPr>
      <xdr:spPr>
        <a:xfrm>
          <a:off x="5429250" y="50577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32</xdr:row>
      <xdr:rowOff>142875</xdr:rowOff>
    </xdr:from>
    <xdr:ext cx="409575" cy="180975"/>
    <xdr:sp>
      <xdr:nvSpPr>
        <xdr:cNvPr id="9" name="TextBox 131"/>
        <xdr:cNvSpPr txBox="1">
          <a:spLocks noChangeArrowheads="1"/>
        </xdr:cNvSpPr>
      </xdr:nvSpPr>
      <xdr:spPr>
        <a:xfrm>
          <a:off x="5429250" y="56578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36</xdr:row>
      <xdr:rowOff>142875</xdr:rowOff>
    </xdr:from>
    <xdr:ext cx="409575" cy="180975"/>
    <xdr:sp>
      <xdr:nvSpPr>
        <xdr:cNvPr id="10" name="TextBox 133"/>
        <xdr:cNvSpPr txBox="1">
          <a:spLocks noChangeArrowheads="1"/>
        </xdr:cNvSpPr>
      </xdr:nvSpPr>
      <xdr:spPr>
        <a:xfrm>
          <a:off x="5429250" y="62674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45</xdr:row>
      <xdr:rowOff>0</xdr:rowOff>
    </xdr:from>
    <xdr:ext cx="409575" cy="180975"/>
    <xdr:sp>
      <xdr:nvSpPr>
        <xdr:cNvPr id="11" name="TextBox 135"/>
        <xdr:cNvSpPr txBox="1">
          <a:spLocks noChangeArrowheads="1"/>
        </xdr:cNvSpPr>
      </xdr:nvSpPr>
      <xdr:spPr>
        <a:xfrm>
          <a:off x="5429250" y="93249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48</xdr:row>
      <xdr:rowOff>0</xdr:rowOff>
    </xdr:from>
    <xdr:ext cx="409575" cy="180975"/>
    <xdr:sp>
      <xdr:nvSpPr>
        <xdr:cNvPr id="12" name="TextBox 137"/>
        <xdr:cNvSpPr txBox="1">
          <a:spLocks noChangeArrowheads="1"/>
        </xdr:cNvSpPr>
      </xdr:nvSpPr>
      <xdr:spPr>
        <a:xfrm>
          <a:off x="5429250" y="99345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51</xdr:row>
      <xdr:rowOff>0</xdr:rowOff>
    </xdr:from>
    <xdr:ext cx="409575" cy="180975"/>
    <xdr:sp>
      <xdr:nvSpPr>
        <xdr:cNvPr id="13" name="TextBox 139"/>
        <xdr:cNvSpPr txBox="1">
          <a:spLocks noChangeArrowheads="1"/>
        </xdr:cNvSpPr>
      </xdr:nvSpPr>
      <xdr:spPr>
        <a:xfrm>
          <a:off x="5429250" y="103917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53</xdr:row>
      <xdr:rowOff>142875</xdr:rowOff>
    </xdr:from>
    <xdr:ext cx="409575" cy="180975"/>
    <xdr:sp>
      <xdr:nvSpPr>
        <xdr:cNvPr id="14" name="TextBox 141"/>
        <xdr:cNvSpPr txBox="1">
          <a:spLocks noChangeArrowheads="1"/>
        </xdr:cNvSpPr>
      </xdr:nvSpPr>
      <xdr:spPr>
        <a:xfrm>
          <a:off x="5429250" y="109918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57</xdr:row>
      <xdr:rowOff>0</xdr:rowOff>
    </xdr:from>
    <xdr:ext cx="409575" cy="180975"/>
    <xdr:sp>
      <xdr:nvSpPr>
        <xdr:cNvPr id="15" name="TextBox 143"/>
        <xdr:cNvSpPr txBox="1">
          <a:spLocks noChangeArrowheads="1"/>
        </xdr:cNvSpPr>
      </xdr:nvSpPr>
      <xdr:spPr>
        <a:xfrm>
          <a:off x="5429250" y="114585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60</xdr:row>
      <xdr:rowOff>0</xdr:rowOff>
    </xdr:from>
    <xdr:ext cx="409575" cy="180975"/>
    <xdr:sp>
      <xdr:nvSpPr>
        <xdr:cNvPr id="16" name="TextBox 145"/>
        <xdr:cNvSpPr txBox="1">
          <a:spLocks noChangeArrowheads="1"/>
        </xdr:cNvSpPr>
      </xdr:nvSpPr>
      <xdr:spPr>
        <a:xfrm>
          <a:off x="5429250" y="122205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63</xdr:row>
      <xdr:rowOff>0</xdr:rowOff>
    </xdr:from>
    <xdr:ext cx="409575" cy="180975"/>
    <xdr:sp>
      <xdr:nvSpPr>
        <xdr:cNvPr id="17" name="TextBox 147"/>
        <xdr:cNvSpPr txBox="1">
          <a:spLocks noChangeArrowheads="1"/>
        </xdr:cNvSpPr>
      </xdr:nvSpPr>
      <xdr:spPr>
        <a:xfrm>
          <a:off x="5429250" y="128301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66</xdr:row>
      <xdr:rowOff>0</xdr:rowOff>
    </xdr:from>
    <xdr:ext cx="409575" cy="180975"/>
    <xdr:sp>
      <xdr:nvSpPr>
        <xdr:cNvPr id="18" name="TextBox 149"/>
        <xdr:cNvSpPr txBox="1">
          <a:spLocks noChangeArrowheads="1"/>
        </xdr:cNvSpPr>
      </xdr:nvSpPr>
      <xdr:spPr>
        <a:xfrm>
          <a:off x="5429250" y="135921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69</xdr:row>
      <xdr:rowOff>0</xdr:rowOff>
    </xdr:from>
    <xdr:ext cx="409575" cy="180975"/>
    <xdr:sp>
      <xdr:nvSpPr>
        <xdr:cNvPr id="19" name="TextBox 151"/>
        <xdr:cNvSpPr txBox="1">
          <a:spLocks noChangeArrowheads="1"/>
        </xdr:cNvSpPr>
      </xdr:nvSpPr>
      <xdr:spPr>
        <a:xfrm>
          <a:off x="5429250" y="146589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78</xdr:row>
      <xdr:rowOff>142875</xdr:rowOff>
    </xdr:from>
    <xdr:ext cx="409575" cy="180975"/>
    <xdr:sp>
      <xdr:nvSpPr>
        <xdr:cNvPr id="20" name="TextBox 153"/>
        <xdr:cNvSpPr txBox="1">
          <a:spLocks noChangeArrowheads="1"/>
        </xdr:cNvSpPr>
      </xdr:nvSpPr>
      <xdr:spPr>
        <a:xfrm>
          <a:off x="5429250" y="173164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80</xdr:row>
      <xdr:rowOff>66675</xdr:rowOff>
    </xdr:from>
    <xdr:ext cx="409575" cy="180975"/>
    <xdr:sp>
      <xdr:nvSpPr>
        <xdr:cNvPr id="21" name="TextBox 155"/>
        <xdr:cNvSpPr txBox="1">
          <a:spLocks noChangeArrowheads="1"/>
        </xdr:cNvSpPr>
      </xdr:nvSpPr>
      <xdr:spPr>
        <a:xfrm>
          <a:off x="5429250" y="175450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89</xdr:row>
      <xdr:rowOff>0</xdr:rowOff>
    </xdr:from>
    <xdr:ext cx="409575" cy="180975"/>
    <xdr:sp>
      <xdr:nvSpPr>
        <xdr:cNvPr id="22" name="TextBox 157"/>
        <xdr:cNvSpPr txBox="1">
          <a:spLocks noChangeArrowheads="1"/>
        </xdr:cNvSpPr>
      </xdr:nvSpPr>
      <xdr:spPr>
        <a:xfrm>
          <a:off x="5429250" y="186975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91</xdr:row>
      <xdr:rowOff>0</xdr:rowOff>
    </xdr:from>
    <xdr:ext cx="409575" cy="180975"/>
    <xdr:sp>
      <xdr:nvSpPr>
        <xdr:cNvPr id="23" name="TextBox 159"/>
        <xdr:cNvSpPr txBox="1">
          <a:spLocks noChangeArrowheads="1"/>
        </xdr:cNvSpPr>
      </xdr:nvSpPr>
      <xdr:spPr>
        <a:xfrm>
          <a:off x="5429250" y="191547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94</xdr:row>
      <xdr:rowOff>0</xdr:rowOff>
    </xdr:from>
    <xdr:ext cx="409575" cy="180975"/>
    <xdr:sp>
      <xdr:nvSpPr>
        <xdr:cNvPr id="24" name="TextBox 161"/>
        <xdr:cNvSpPr txBox="1">
          <a:spLocks noChangeArrowheads="1"/>
        </xdr:cNvSpPr>
      </xdr:nvSpPr>
      <xdr:spPr>
        <a:xfrm>
          <a:off x="5429250" y="199167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97</xdr:row>
      <xdr:rowOff>0</xdr:rowOff>
    </xdr:from>
    <xdr:ext cx="409575" cy="180975"/>
    <xdr:sp>
      <xdr:nvSpPr>
        <xdr:cNvPr id="25" name="TextBox 163"/>
        <xdr:cNvSpPr txBox="1">
          <a:spLocks noChangeArrowheads="1"/>
        </xdr:cNvSpPr>
      </xdr:nvSpPr>
      <xdr:spPr>
        <a:xfrm>
          <a:off x="5429250" y="205263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100</xdr:row>
      <xdr:rowOff>0</xdr:rowOff>
    </xdr:from>
    <xdr:ext cx="409575" cy="180975"/>
    <xdr:sp>
      <xdr:nvSpPr>
        <xdr:cNvPr id="26" name="TextBox 165"/>
        <xdr:cNvSpPr txBox="1">
          <a:spLocks noChangeArrowheads="1"/>
        </xdr:cNvSpPr>
      </xdr:nvSpPr>
      <xdr:spPr>
        <a:xfrm>
          <a:off x="5429250" y="209835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103</xdr:row>
      <xdr:rowOff>0</xdr:rowOff>
    </xdr:from>
    <xdr:ext cx="409575" cy="180975"/>
    <xdr:sp>
      <xdr:nvSpPr>
        <xdr:cNvPr id="27" name="TextBox 167"/>
        <xdr:cNvSpPr txBox="1">
          <a:spLocks noChangeArrowheads="1"/>
        </xdr:cNvSpPr>
      </xdr:nvSpPr>
      <xdr:spPr>
        <a:xfrm>
          <a:off x="5429250" y="215931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106</xdr:row>
      <xdr:rowOff>0</xdr:rowOff>
    </xdr:from>
    <xdr:ext cx="409575" cy="180975"/>
    <xdr:sp>
      <xdr:nvSpPr>
        <xdr:cNvPr id="28" name="TextBox 169"/>
        <xdr:cNvSpPr txBox="1">
          <a:spLocks noChangeArrowheads="1"/>
        </xdr:cNvSpPr>
      </xdr:nvSpPr>
      <xdr:spPr>
        <a:xfrm>
          <a:off x="5429250" y="222027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73</xdr:row>
      <xdr:rowOff>142875</xdr:rowOff>
    </xdr:from>
    <xdr:ext cx="409575" cy="180975"/>
    <xdr:sp>
      <xdr:nvSpPr>
        <xdr:cNvPr id="29" name="TextBox 171"/>
        <xdr:cNvSpPr txBox="1">
          <a:spLocks noChangeArrowheads="1"/>
        </xdr:cNvSpPr>
      </xdr:nvSpPr>
      <xdr:spPr>
        <a:xfrm>
          <a:off x="5429250" y="161734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75</xdr:row>
      <xdr:rowOff>66675</xdr:rowOff>
    </xdr:from>
    <xdr:ext cx="409575" cy="180975"/>
    <xdr:sp>
      <xdr:nvSpPr>
        <xdr:cNvPr id="30" name="TextBox 173"/>
        <xdr:cNvSpPr txBox="1">
          <a:spLocks noChangeArrowheads="1"/>
        </xdr:cNvSpPr>
      </xdr:nvSpPr>
      <xdr:spPr>
        <a:xfrm>
          <a:off x="5429250" y="165544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111</xdr:row>
      <xdr:rowOff>142875</xdr:rowOff>
    </xdr:from>
    <xdr:ext cx="409575" cy="180975"/>
    <xdr:sp>
      <xdr:nvSpPr>
        <xdr:cNvPr id="31" name="TextBox 175"/>
        <xdr:cNvSpPr txBox="1">
          <a:spLocks noChangeArrowheads="1"/>
        </xdr:cNvSpPr>
      </xdr:nvSpPr>
      <xdr:spPr>
        <a:xfrm>
          <a:off x="5429250" y="231076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116</xdr:row>
      <xdr:rowOff>142875</xdr:rowOff>
    </xdr:from>
    <xdr:ext cx="409575" cy="180975"/>
    <xdr:sp>
      <xdr:nvSpPr>
        <xdr:cNvPr id="32" name="TextBox 177"/>
        <xdr:cNvSpPr txBox="1">
          <a:spLocks noChangeArrowheads="1"/>
        </xdr:cNvSpPr>
      </xdr:nvSpPr>
      <xdr:spPr>
        <a:xfrm>
          <a:off x="5429250" y="242506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118</xdr:row>
      <xdr:rowOff>66675</xdr:rowOff>
    </xdr:from>
    <xdr:ext cx="409575" cy="180975"/>
    <xdr:sp>
      <xdr:nvSpPr>
        <xdr:cNvPr id="33" name="TextBox 179"/>
        <xdr:cNvSpPr txBox="1">
          <a:spLocks noChangeArrowheads="1"/>
        </xdr:cNvSpPr>
      </xdr:nvSpPr>
      <xdr:spPr>
        <a:xfrm>
          <a:off x="5429250" y="246316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113</xdr:row>
      <xdr:rowOff>76200</xdr:rowOff>
    </xdr:from>
    <xdr:ext cx="409575" cy="180975"/>
    <xdr:sp>
      <xdr:nvSpPr>
        <xdr:cNvPr id="34" name="TextBox 181"/>
        <xdr:cNvSpPr txBox="1">
          <a:spLocks noChangeArrowheads="1"/>
        </xdr:cNvSpPr>
      </xdr:nvSpPr>
      <xdr:spPr>
        <a:xfrm>
          <a:off x="5429250" y="234981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13</xdr:col>
      <xdr:colOff>276225</xdr:colOff>
      <xdr:row>111</xdr:row>
      <xdr:rowOff>142875</xdr:rowOff>
    </xdr:from>
    <xdr:ext cx="409575" cy="180975"/>
    <xdr:sp>
      <xdr:nvSpPr>
        <xdr:cNvPr id="35" name="TextBox 183"/>
        <xdr:cNvSpPr txBox="1">
          <a:spLocks noChangeArrowheads="1"/>
        </xdr:cNvSpPr>
      </xdr:nvSpPr>
      <xdr:spPr>
        <a:xfrm>
          <a:off x="5429250" y="231076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9</xdr:col>
      <xdr:colOff>171450</xdr:colOff>
      <xdr:row>83</xdr:row>
      <xdr:rowOff>0</xdr:rowOff>
    </xdr:from>
    <xdr:ext cx="409575" cy="180975"/>
    <xdr:sp>
      <xdr:nvSpPr>
        <xdr:cNvPr id="36" name="TextBox 185"/>
        <xdr:cNvSpPr txBox="1">
          <a:spLocks noChangeArrowheads="1"/>
        </xdr:cNvSpPr>
      </xdr:nvSpPr>
      <xdr:spPr>
        <a:xfrm>
          <a:off x="3667125" y="179355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9</xdr:col>
      <xdr:colOff>171450</xdr:colOff>
      <xdr:row>84</xdr:row>
      <xdr:rowOff>66675</xdr:rowOff>
    </xdr:from>
    <xdr:ext cx="409575" cy="180975"/>
    <xdr:sp>
      <xdr:nvSpPr>
        <xdr:cNvPr id="37" name="TextBox 187"/>
        <xdr:cNvSpPr txBox="1">
          <a:spLocks noChangeArrowheads="1"/>
        </xdr:cNvSpPr>
      </xdr:nvSpPr>
      <xdr:spPr>
        <a:xfrm>
          <a:off x="3667125" y="18154650"/>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oneCellAnchor>
    <xdr:from>
      <xdr:col>9</xdr:col>
      <xdr:colOff>171450</xdr:colOff>
      <xdr:row>87</xdr:row>
      <xdr:rowOff>0</xdr:rowOff>
    </xdr:from>
    <xdr:ext cx="409575" cy="180975"/>
    <xdr:sp>
      <xdr:nvSpPr>
        <xdr:cNvPr id="38" name="TextBox 189"/>
        <xdr:cNvSpPr txBox="1">
          <a:spLocks noChangeArrowheads="1"/>
        </xdr:cNvSpPr>
      </xdr:nvSpPr>
      <xdr:spPr>
        <a:xfrm>
          <a:off x="3667125" y="18392775"/>
          <a:ext cx="409575" cy="180975"/>
        </a:xfrm>
        <a:prstGeom prst="rect">
          <a:avLst/>
        </a:prstGeom>
        <a:noFill/>
        <a:ln w="9525" cmpd="sng">
          <a:noFill/>
        </a:ln>
      </xdr:spPr>
      <xdr:txBody>
        <a:bodyPr vertOverflow="clip" wrap="square">
          <a:spAutoFit/>
        </a:bodyPr>
        <a:p>
          <a:pPr algn="l">
            <a:defRPr/>
          </a:pPr>
          <a:r>
            <a:rPr lang="en-US" cap="none" sz="800" b="0" i="0" u="none" baseline="0">
              <a:solidFill>
                <a:srgbClr val="FFFFFF"/>
              </a:solidFill>
              <a:latin typeface="Arial"/>
              <a:ea typeface="Arial"/>
              <a:cs typeface="Arial"/>
            </a:rPr>
            <a:t>Medtag</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98</xdr:row>
      <xdr:rowOff>85725</xdr:rowOff>
    </xdr:from>
    <xdr:to>
      <xdr:col>4</xdr:col>
      <xdr:colOff>0</xdr:colOff>
      <xdr:row>100</xdr:row>
      <xdr:rowOff>76200</xdr:rowOff>
    </xdr:to>
    <xdr:sp>
      <xdr:nvSpPr>
        <xdr:cNvPr id="1" name="AutoShape 10"/>
        <xdr:cNvSpPr>
          <a:spLocks/>
        </xdr:cNvSpPr>
      </xdr:nvSpPr>
      <xdr:spPr>
        <a:xfrm flipV="1">
          <a:off x="1085850" y="7086600"/>
          <a:ext cx="704850" cy="0"/>
        </a:xfrm>
        <a:prstGeom prst="bentConnector3">
          <a:avLst>
            <a:gd name="adj1" fmla="val 3475759"/>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100</xdr:row>
      <xdr:rowOff>76200</xdr:rowOff>
    </xdr:from>
    <xdr:to>
      <xdr:col>4</xdr:col>
      <xdr:colOff>0</xdr:colOff>
      <xdr:row>102</xdr:row>
      <xdr:rowOff>76200</xdr:rowOff>
    </xdr:to>
    <xdr:sp>
      <xdr:nvSpPr>
        <xdr:cNvPr id="2" name="AutoShape 11"/>
        <xdr:cNvSpPr>
          <a:spLocks/>
        </xdr:cNvSpPr>
      </xdr:nvSpPr>
      <xdr:spPr>
        <a:xfrm>
          <a:off x="1085850" y="7086600"/>
          <a:ext cx="704850" cy="0"/>
        </a:xfrm>
        <a:prstGeom prst="bentConnector3">
          <a:avLst>
            <a:gd name="adj1" fmla="val -3376472"/>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100</xdr:row>
      <xdr:rowOff>85725</xdr:rowOff>
    </xdr:from>
    <xdr:to>
      <xdr:col>6</xdr:col>
      <xdr:colOff>0</xdr:colOff>
      <xdr:row>102</xdr:row>
      <xdr:rowOff>76200</xdr:rowOff>
    </xdr:to>
    <xdr:sp>
      <xdr:nvSpPr>
        <xdr:cNvPr id="3" name="AutoShape 12"/>
        <xdr:cNvSpPr>
          <a:spLocks/>
        </xdr:cNvSpPr>
      </xdr:nvSpPr>
      <xdr:spPr>
        <a:xfrm flipV="1">
          <a:off x="2514600" y="7086600"/>
          <a:ext cx="704850" cy="0"/>
        </a:xfrm>
        <a:prstGeom prst="bentConnector3">
          <a:avLst>
            <a:gd name="adj1" fmla="val 3475759"/>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102</xdr:row>
      <xdr:rowOff>76200</xdr:rowOff>
    </xdr:from>
    <xdr:to>
      <xdr:col>6</xdr:col>
      <xdr:colOff>0</xdr:colOff>
      <xdr:row>104</xdr:row>
      <xdr:rowOff>76200</xdr:rowOff>
    </xdr:to>
    <xdr:sp>
      <xdr:nvSpPr>
        <xdr:cNvPr id="4" name="AutoShape 13"/>
        <xdr:cNvSpPr>
          <a:spLocks/>
        </xdr:cNvSpPr>
      </xdr:nvSpPr>
      <xdr:spPr>
        <a:xfrm>
          <a:off x="2514600" y="7086600"/>
          <a:ext cx="704850" cy="0"/>
        </a:xfrm>
        <a:prstGeom prst="bentConnector3">
          <a:avLst>
            <a:gd name="adj1" fmla="val -3376472"/>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102</xdr:row>
      <xdr:rowOff>85725</xdr:rowOff>
    </xdr:from>
    <xdr:to>
      <xdr:col>7</xdr:col>
      <xdr:colOff>704850</xdr:colOff>
      <xdr:row>104</xdr:row>
      <xdr:rowOff>76200</xdr:rowOff>
    </xdr:to>
    <xdr:sp>
      <xdr:nvSpPr>
        <xdr:cNvPr id="5" name="AutoShape 14"/>
        <xdr:cNvSpPr>
          <a:spLocks/>
        </xdr:cNvSpPr>
      </xdr:nvSpPr>
      <xdr:spPr>
        <a:xfrm flipV="1">
          <a:off x="3933825" y="7086600"/>
          <a:ext cx="704850" cy="0"/>
        </a:xfrm>
        <a:prstGeom prst="bentConnector3">
          <a:avLst>
            <a:gd name="adj1" fmla="val 3475759"/>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104</xdr:row>
      <xdr:rowOff>76200</xdr:rowOff>
    </xdr:from>
    <xdr:to>
      <xdr:col>7</xdr:col>
      <xdr:colOff>704850</xdr:colOff>
      <xdr:row>106</xdr:row>
      <xdr:rowOff>76200</xdr:rowOff>
    </xdr:to>
    <xdr:sp>
      <xdr:nvSpPr>
        <xdr:cNvPr id="6" name="AutoShape 15"/>
        <xdr:cNvSpPr>
          <a:spLocks/>
        </xdr:cNvSpPr>
      </xdr:nvSpPr>
      <xdr:spPr>
        <a:xfrm>
          <a:off x="3933825" y="7086600"/>
          <a:ext cx="704850" cy="0"/>
        </a:xfrm>
        <a:prstGeom prst="bentConnector3">
          <a:avLst>
            <a:gd name="adj1" fmla="val -3376472"/>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102</xdr:row>
      <xdr:rowOff>0</xdr:rowOff>
    </xdr:from>
    <xdr:to>
      <xdr:col>2</xdr:col>
      <xdr:colOff>352425</xdr:colOff>
      <xdr:row>112</xdr:row>
      <xdr:rowOff>114300</xdr:rowOff>
    </xdr:to>
    <xdr:sp>
      <xdr:nvSpPr>
        <xdr:cNvPr id="7" name="AutoShape 16"/>
        <xdr:cNvSpPr>
          <a:spLocks/>
        </xdr:cNvSpPr>
      </xdr:nvSpPr>
      <xdr:spPr>
        <a:xfrm>
          <a:off x="714375" y="7086600"/>
          <a:ext cx="0" cy="0"/>
        </a:xfrm>
        <a:prstGeom prst="straightConnector1">
          <a:avLst/>
        </a:prstGeom>
        <a:noFill/>
        <a:ln w="9525" cmpd="sng">
          <a:solidFill>
            <a:srgbClr val="C0C0C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112</xdr:row>
      <xdr:rowOff>0</xdr:rowOff>
    </xdr:from>
    <xdr:to>
      <xdr:col>6</xdr:col>
      <xdr:colOff>361950</xdr:colOff>
      <xdr:row>114</xdr:row>
      <xdr:rowOff>0</xdr:rowOff>
    </xdr:to>
    <xdr:sp>
      <xdr:nvSpPr>
        <xdr:cNvPr id="8" name="AutoShape 17"/>
        <xdr:cNvSpPr>
          <a:spLocks/>
        </xdr:cNvSpPr>
      </xdr:nvSpPr>
      <xdr:spPr>
        <a:xfrm flipV="1">
          <a:off x="3581400" y="7086600"/>
          <a:ext cx="0"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107</xdr:row>
      <xdr:rowOff>28575</xdr:rowOff>
    </xdr:from>
    <xdr:to>
      <xdr:col>6</xdr:col>
      <xdr:colOff>361950</xdr:colOff>
      <xdr:row>110</xdr:row>
      <xdr:rowOff>0</xdr:rowOff>
    </xdr:to>
    <xdr:sp>
      <xdr:nvSpPr>
        <xdr:cNvPr id="9" name="AutoShape 18"/>
        <xdr:cNvSpPr>
          <a:spLocks/>
        </xdr:cNvSpPr>
      </xdr:nvSpPr>
      <xdr:spPr>
        <a:xfrm flipV="1">
          <a:off x="3581400" y="7086600"/>
          <a:ext cx="0" cy="0"/>
        </a:xfrm>
        <a:prstGeom prst="straightConnector1">
          <a:avLst/>
        </a:prstGeom>
        <a:noFill/>
        <a:ln w="9525" cmpd="sng">
          <a:solidFill>
            <a:srgbClr val="C0C0C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114</xdr:row>
      <xdr:rowOff>76200</xdr:rowOff>
    </xdr:from>
    <xdr:to>
      <xdr:col>4</xdr:col>
      <xdr:colOff>0</xdr:colOff>
      <xdr:row>114</xdr:row>
      <xdr:rowOff>76200</xdr:rowOff>
    </xdr:to>
    <xdr:sp>
      <xdr:nvSpPr>
        <xdr:cNvPr id="10" name="AutoShape 20"/>
        <xdr:cNvSpPr>
          <a:spLocks/>
        </xdr:cNvSpPr>
      </xdr:nvSpPr>
      <xdr:spPr>
        <a:xfrm>
          <a:off x="1076325" y="7086600"/>
          <a:ext cx="714375"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114</xdr:row>
      <xdr:rowOff>76200</xdr:rowOff>
    </xdr:from>
    <xdr:to>
      <xdr:col>6</xdr:col>
      <xdr:colOff>0</xdr:colOff>
      <xdr:row>114</xdr:row>
      <xdr:rowOff>76200</xdr:rowOff>
    </xdr:to>
    <xdr:sp>
      <xdr:nvSpPr>
        <xdr:cNvPr id="11" name="AutoShape 21"/>
        <xdr:cNvSpPr>
          <a:spLocks/>
        </xdr:cNvSpPr>
      </xdr:nvSpPr>
      <xdr:spPr>
        <a:xfrm>
          <a:off x="2505075" y="7086600"/>
          <a:ext cx="714375"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116</xdr:row>
      <xdr:rowOff>9525</xdr:rowOff>
    </xdr:from>
    <xdr:to>
      <xdr:col>4</xdr:col>
      <xdr:colOff>352425</xdr:colOff>
      <xdr:row>117</xdr:row>
      <xdr:rowOff>0</xdr:rowOff>
    </xdr:to>
    <xdr:sp>
      <xdr:nvSpPr>
        <xdr:cNvPr id="12" name="AutoShape 22"/>
        <xdr:cNvSpPr>
          <a:spLocks/>
        </xdr:cNvSpPr>
      </xdr:nvSpPr>
      <xdr:spPr>
        <a:xfrm>
          <a:off x="2143125" y="7086600"/>
          <a:ext cx="0"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119</xdr:row>
      <xdr:rowOff>9525</xdr:rowOff>
    </xdr:from>
    <xdr:to>
      <xdr:col>4</xdr:col>
      <xdr:colOff>352425</xdr:colOff>
      <xdr:row>120</xdr:row>
      <xdr:rowOff>0</xdr:rowOff>
    </xdr:to>
    <xdr:sp>
      <xdr:nvSpPr>
        <xdr:cNvPr id="13" name="AutoShape 23"/>
        <xdr:cNvSpPr>
          <a:spLocks/>
        </xdr:cNvSpPr>
      </xdr:nvSpPr>
      <xdr:spPr>
        <a:xfrm>
          <a:off x="2143125" y="7086600"/>
          <a:ext cx="0"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8</xdr:col>
      <xdr:colOff>142875</xdr:colOff>
      <xdr:row>287</xdr:row>
      <xdr:rowOff>152400</xdr:rowOff>
    </xdr:from>
    <xdr:to>
      <xdr:col>8</xdr:col>
      <xdr:colOff>685800</xdr:colOff>
      <xdr:row>289</xdr:row>
      <xdr:rowOff>0</xdr:rowOff>
    </xdr:to>
    <xdr:sp>
      <xdr:nvSpPr>
        <xdr:cNvPr id="14" name="TextBox 27"/>
        <xdr:cNvSpPr txBox="1">
          <a:spLocks noChangeArrowheads="1"/>
        </xdr:cNvSpPr>
      </xdr:nvSpPr>
      <xdr:spPr>
        <a:xfrm>
          <a:off x="4791075" y="20107275"/>
          <a:ext cx="542925" cy="171450"/>
        </a:xfrm>
        <a:prstGeom prst="rect">
          <a:avLst/>
        </a:prstGeom>
        <a:noFill/>
        <a:ln w="9525" cmpd="sng">
          <a:noFill/>
        </a:ln>
      </xdr:spPr>
      <xdr:txBody>
        <a:bodyPr vertOverflow="clip" wrap="square"/>
        <a:p>
          <a:pPr algn="l">
            <a:defRPr/>
          </a:pPr>
          <a:r>
            <a:rPr lang="en-US" cap="none" sz="800" b="0" i="0" u="none" baseline="0">
              <a:solidFill>
                <a:srgbClr val="FFFFFF"/>
              </a:solidFill>
              <a:latin typeface="Arial"/>
              <a:ea typeface="Arial"/>
              <a:cs typeface="Arial"/>
            </a:rPr>
            <a:t>Optimer til:</a:t>
          </a:r>
        </a:p>
      </xdr:txBody>
    </xdr:sp>
    <xdr:clientData/>
  </xdr:twoCellAnchor>
  <xdr:twoCellAnchor>
    <xdr:from>
      <xdr:col>3</xdr:col>
      <xdr:colOff>9525</xdr:colOff>
      <xdr:row>154</xdr:row>
      <xdr:rowOff>85725</xdr:rowOff>
    </xdr:from>
    <xdr:to>
      <xdr:col>4</xdr:col>
      <xdr:colOff>0</xdr:colOff>
      <xdr:row>156</xdr:row>
      <xdr:rowOff>76200</xdr:rowOff>
    </xdr:to>
    <xdr:sp>
      <xdr:nvSpPr>
        <xdr:cNvPr id="15" name="AutoShape 42"/>
        <xdr:cNvSpPr>
          <a:spLocks/>
        </xdr:cNvSpPr>
      </xdr:nvSpPr>
      <xdr:spPr>
        <a:xfrm flipV="1">
          <a:off x="1085850" y="7086600"/>
          <a:ext cx="704850" cy="0"/>
        </a:xfrm>
        <a:prstGeom prst="bentConnector3">
          <a:avLst>
            <a:gd name="adj1" fmla="val 3475759"/>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156</xdr:row>
      <xdr:rowOff>76200</xdr:rowOff>
    </xdr:from>
    <xdr:to>
      <xdr:col>4</xdr:col>
      <xdr:colOff>0</xdr:colOff>
      <xdr:row>158</xdr:row>
      <xdr:rowOff>76200</xdr:rowOff>
    </xdr:to>
    <xdr:sp>
      <xdr:nvSpPr>
        <xdr:cNvPr id="16" name="AutoShape 43"/>
        <xdr:cNvSpPr>
          <a:spLocks/>
        </xdr:cNvSpPr>
      </xdr:nvSpPr>
      <xdr:spPr>
        <a:xfrm>
          <a:off x="1085850" y="7086600"/>
          <a:ext cx="704850" cy="0"/>
        </a:xfrm>
        <a:prstGeom prst="bentConnector3">
          <a:avLst>
            <a:gd name="adj1" fmla="val -3376472"/>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156</xdr:row>
      <xdr:rowOff>85725</xdr:rowOff>
    </xdr:from>
    <xdr:to>
      <xdr:col>6</xdr:col>
      <xdr:colOff>0</xdr:colOff>
      <xdr:row>158</xdr:row>
      <xdr:rowOff>76200</xdr:rowOff>
    </xdr:to>
    <xdr:sp>
      <xdr:nvSpPr>
        <xdr:cNvPr id="17" name="AutoShape 44"/>
        <xdr:cNvSpPr>
          <a:spLocks/>
        </xdr:cNvSpPr>
      </xdr:nvSpPr>
      <xdr:spPr>
        <a:xfrm flipV="1">
          <a:off x="2514600" y="7086600"/>
          <a:ext cx="704850" cy="0"/>
        </a:xfrm>
        <a:prstGeom prst="bentConnector3">
          <a:avLst>
            <a:gd name="adj1" fmla="val 3475759"/>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158</xdr:row>
      <xdr:rowOff>76200</xdr:rowOff>
    </xdr:from>
    <xdr:to>
      <xdr:col>6</xdr:col>
      <xdr:colOff>0</xdr:colOff>
      <xdr:row>160</xdr:row>
      <xdr:rowOff>76200</xdr:rowOff>
    </xdr:to>
    <xdr:sp>
      <xdr:nvSpPr>
        <xdr:cNvPr id="18" name="AutoShape 45"/>
        <xdr:cNvSpPr>
          <a:spLocks/>
        </xdr:cNvSpPr>
      </xdr:nvSpPr>
      <xdr:spPr>
        <a:xfrm>
          <a:off x="2514600" y="7086600"/>
          <a:ext cx="704850" cy="0"/>
        </a:xfrm>
        <a:prstGeom prst="bentConnector3">
          <a:avLst>
            <a:gd name="adj1" fmla="val -3376472"/>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158</xdr:row>
      <xdr:rowOff>85725</xdr:rowOff>
    </xdr:from>
    <xdr:to>
      <xdr:col>7</xdr:col>
      <xdr:colOff>704850</xdr:colOff>
      <xdr:row>160</xdr:row>
      <xdr:rowOff>76200</xdr:rowOff>
    </xdr:to>
    <xdr:sp>
      <xdr:nvSpPr>
        <xdr:cNvPr id="19" name="AutoShape 46"/>
        <xdr:cNvSpPr>
          <a:spLocks/>
        </xdr:cNvSpPr>
      </xdr:nvSpPr>
      <xdr:spPr>
        <a:xfrm flipV="1">
          <a:off x="3933825" y="7086600"/>
          <a:ext cx="704850" cy="0"/>
        </a:xfrm>
        <a:prstGeom prst="bentConnector3">
          <a:avLst>
            <a:gd name="adj1" fmla="val 3475759"/>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160</xdr:row>
      <xdr:rowOff>76200</xdr:rowOff>
    </xdr:from>
    <xdr:to>
      <xdr:col>7</xdr:col>
      <xdr:colOff>704850</xdr:colOff>
      <xdr:row>162</xdr:row>
      <xdr:rowOff>76200</xdr:rowOff>
    </xdr:to>
    <xdr:sp>
      <xdr:nvSpPr>
        <xdr:cNvPr id="20" name="AutoShape 47"/>
        <xdr:cNvSpPr>
          <a:spLocks/>
        </xdr:cNvSpPr>
      </xdr:nvSpPr>
      <xdr:spPr>
        <a:xfrm>
          <a:off x="3933825" y="7086600"/>
          <a:ext cx="704850" cy="0"/>
        </a:xfrm>
        <a:prstGeom prst="bentConnector3">
          <a:avLst>
            <a:gd name="adj1" fmla="val -3376472"/>
            <a:gd name="adj2" fmla="val -154055"/>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158</xdr:row>
      <xdr:rowOff>0</xdr:rowOff>
    </xdr:from>
    <xdr:to>
      <xdr:col>2</xdr:col>
      <xdr:colOff>352425</xdr:colOff>
      <xdr:row>168</xdr:row>
      <xdr:rowOff>114300</xdr:rowOff>
    </xdr:to>
    <xdr:sp>
      <xdr:nvSpPr>
        <xdr:cNvPr id="21" name="AutoShape 48"/>
        <xdr:cNvSpPr>
          <a:spLocks/>
        </xdr:cNvSpPr>
      </xdr:nvSpPr>
      <xdr:spPr>
        <a:xfrm>
          <a:off x="714375" y="7086600"/>
          <a:ext cx="0" cy="0"/>
        </a:xfrm>
        <a:prstGeom prst="straightConnector1">
          <a:avLst/>
        </a:prstGeom>
        <a:noFill/>
        <a:ln w="9525" cmpd="sng">
          <a:solidFill>
            <a:srgbClr val="C0C0C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168</xdr:row>
      <xdr:rowOff>0</xdr:rowOff>
    </xdr:from>
    <xdr:to>
      <xdr:col>6</xdr:col>
      <xdr:colOff>361950</xdr:colOff>
      <xdr:row>170</xdr:row>
      <xdr:rowOff>0</xdr:rowOff>
    </xdr:to>
    <xdr:sp>
      <xdr:nvSpPr>
        <xdr:cNvPr id="22" name="AutoShape 49"/>
        <xdr:cNvSpPr>
          <a:spLocks/>
        </xdr:cNvSpPr>
      </xdr:nvSpPr>
      <xdr:spPr>
        <a:xfrm flipV="1">
          <a:off x="3581400" y="7086600"/>
          <a:ext cx="0"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163</xdr:row>
      <xdr:rowOff>28575</xdr:rowOff>
    </xdr:from>
    <xdr:to>
      <xdr:col>6</xdr:col>
      <xdr:colOff>361950</xdr:colOff>
      <xdr:row>166</xdr:row>
      <xdr:rowOff>0</xdr:rowOff>
    </xdr:to>
    <xdr:sp>
      <xdr:nvSpPr>
        <xdr:cNvPr id="23" name="AutoShape 50"/>
        <xdr:cNvSpPr>
          <a:spLocks/>
        </xdr:cNvSpPr>
      </xdr:nvSpPr>
      <xdr:spPr>
        <a:xfrm flipV="1">
          <a:off x="3581400" y="7086600"/>
          <a:ext cx="0" cy="0"/>
        </a:xfrm>
        <a:prstGeom prst="straightConnector1">
          <a:avLst/>
        </a:prstGeom>
        <a:noFill/>
        <a:ln w="9525" cmpd="sng">
          <a:solidFill>
            <a:srgbClr val="C0C0C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170</xdr:row>
      <xdr:rowOff>76200</xdr:rowOff>
    </xdr:from>
    <xdr:to>
      <xdr:col>4</xdr:col>
      <xdr:colOff>0</xdr:colOff>
      <xdr:row>170</xdr:row>
      <xdr:rowOff>76200</xdr:rowOff>
    </xdr:to>
    <xdr:sp>
      <xdr:nvSpPr>
        <xdr:cNvPr id="24" name="AutoShape 51"/>
        <xdr:cNvSpPr>
          <a:spLocks/>
        </xdr:cNvSpPr>
      </xdr:nvSpPr>
      <xdr:spPr>
        <a:xfrm>
          <a:off x="1076325" y="7086600"/>
          <a:ext cx="714375"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170</xdr:row>
      <xdr:rowOff>76200</xdr:rowOff>
    </xdr:from>
    <xdr:to>
      <xdr:col>6</xdr:col>
      <xdr:colOff>0</xdr:colOff>
      <xdr:row>170</xdr:row>
      <xdr:rowOff>76200</xdr:rowOff>
    </xdr:to>
    <xdr:sp>
      <xdr:nvSpPr>
        <xdr:cNvPr id="25" name="AutoShape 52"/>
        <xdr:cNvSpPr>
          <a:spLocks/>
        </xdr:cNvSpPr>
      </xdr:nvSpPr>
      <xdr:spPr>
        <a:xfrm>
          <a:off x="2505075" y="7086600"/>
          <a:ext cx="714375"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172</xdr:row>
      <xdr:rowOff>9525</xdr:rowOff>
    </xdr:from>
    <xdr:to>
      <xdr:col>4</xdr:col>
      <xdr:colOff>352425</xdr:colOff>
      <xdr:row>173</xdr:row>
      <xdr:rowOff>0</xdr:rowOff>
    </xdr:to>
    <xdr:sp>
      <xdr:nvSpPr>
        <xdr:cNvPr id="26" name="AutoShape 53"/>
        <xdr:cNvSpPr>
          <a:spLocks/>
        </xdr:cNvSpPr>
      </xdr:nvSpPr>
      <xdr:spPr>
        <a:xfrm>
          <a:off x="2143125" y="7086600"/>
          <a:ext cx="0"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175</xdr:row>
      <xdr:rowOff>9525</xdr:rowOff>
    </xdr:from>
    <xdr:to>
      <xdr:col>4</xdr:col>
      <xdr:colOff>352425</xdr:colOff>
      <xdr:row>176</xdr:row>
      <xdr:rowOff>0</xdr:rowOff>
    </xdr:to>
    <xdr:sp>
      <xdr:nvSpPr>
        <xdr:cNvPr id="27" name="AutoShape 54"/>
        <xdr:cNvSpPr>
          <a:spLocks/>
        </xdr:cNvSpPr>
      </xdr:nvSpPr>
      <xdr:spPr>
        <a:xfrm>
          <a:off x="2143125" y="7086600"/>
          <a:ext cx="0" cy="0"/>
        </a:xfrm>
        <a:prstGeom prst="straightConnector1">
          <a:avLst/>
        </a:prstGeom>
        <a:noFill/>
        <a:ln w="9525" cmpd="sng">
          <a:solidFill>
            <a:srgbClr val="CC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13"/>
  <dimension ref="C3:H20"/>
  <sheetViews>
    <sheetView showGridLines="0" showRowColHeaders="0" tabSelected="1" workbookViewId="0" topLeftCell="A1">
      <selection activeCell="A1" sqref="A1"/>
    </sheetView>
  </sheetViews>
  <sheetFormatPr defaultColWidth="9.140625" defaultRowHeight="12.75"/>
  <cols>
    <col min="1" max="1" width="9.140625" style="1" customWidth="1"/>
    <col min="2" max="2" width="1.7109375" style="1" customWidth="1"/>
    <col min="3" max="7" width="9.140625" style="1" customWidth="1"/>
    <col min="8" max="8" width="7.7109375" style="1" customWidth="1"/>
    <col min="9" max="9" width="1.7109375" style="1" customWidth="1"/>
    <col min="10" max="16384" width="9.140625" style="1" customWidth="1"/>
  </cols>
  <sheetData>
    <row r="2" ht="7.5" customHeight="1"/>
    <row r="3" spans="3:8" ht="7.5" customHeight="1">
      <c r="C3" s="316"/>
      <c r="D3" s="317"/>
      <c r="E3" s="317"/>
      <c r="F3" s="317"/>
      <c r="G3" s="317"/>
      <c r="H3" s="318"/>
    </row>
    <row r="4" spans="3:8" ht="12.75">
      <c r="C4" s="348" t="s">
        <v>454</v>
      </c>
      <c r="D4" s="349"/>
      <c r="E4" s="349"/>
      <c r="F4" s="349"/>
      <c r="G4" s="76"/>
      <c r="H4" s="77"/>
    </row>
    <row r="5" spans="3:8" ht="12.75">
      <c r="C5" s="350"/>
      <c r="D5" s="349"/>
      <c r="E5" s="349"/>
      <c r="F5" s="349"/>
      <c r="G5" s="76"/>
      <c r="H5" s="77"/>
    </row>
    <row r="6" spans="3:8" ht="12.75">
      <c r="C6" s="350"/>
      <c r="D6" s="349"/>
      <c r="E6" s="349"/>
      <c r="F6" s="349"/>
      <c r="G6" s="76"/>
      <c r="H6" s="77"/>
    </row>
    <row r="7" spans="3:8" ht="12.75">
      <c r="C7" s="350"/>
      <c r="D7" s="349"/>
      <c r="E7" s="349"/>
      <c r="F7" s="349"/>
      <c r="G7" s="76"/>
      <c r="H7" s="77"/>
    </row>
    <row r="8" spans="3:8" ht="12.75">
      <c r="C8" s="350"/>
      <c r="D8" s="349"/>
      <c r="E8" s="349"/>
      <c r="F8" s="349"/>
      <c r="G8" s="76"/>
      <c r="H8" s="77"/>
    </row>
    <row r="9" spans="3:8" ht="12.75">
      <c r="C9" s="78"/>
      <c r="D9" s="76"/>
      <c r="E9" s="76"/>
      <c r="F9" s="76"/>
      <c r="G9" s="76"/>
      <c r="H9" s="77"/>
    </row>
    <row r="10" spans="3:8" ht="12.75">
      <c r="C10" s="78"/>
      <c r="D10" s="76"/>
      <c r="E10" s="76"/>
      <c r="F10" s="76"/>
      <c r="G10" s="76"/>
      <c r="H10" s="77"/>
    </row>
    <row r="11" spans="3:8" ht="12.75">
      <c r="C11" s="78"/>
      <c r="D11" s="76"/>
      <c r="E11" s="76"/>
      <c r="F11" s="76"/>
      <c r="G11" s="76"/>
      <c r="H11" s="77"/>
    </row>
    <row r="12" spans="3:8" ht="12.75">
      <c r="C12" s="78"/>
      <c r="D12" s="76"/>
      <c r="E12" s="76"/>
      <c r="F12" s="76"/>
      <c r="G12" s="76"/>
      <c r="H12" s="77"/>
    </row>
    <row r="13" spans="3:8" ht="12.75">
      <c r="C13" s="78"/>
      <c r="D13" s="76"/>
      <c r="E13" s="76"/>
      <c r="F13" s="76"/>
      <c r="G13" s="76"/>
      <c r="H13" s="77"/>
    </row>
    <row r="14" spans="3:8" ht="12.75">
      <c r="C14" s="78"/>
      <c r="D14" s="76"/>
      <c r="E14" s="76"/>
      <c r="F14" s="76"/>
      <c r="G14" s="76"/>
      <c r="H14" s="77"/>
    </row>
    <row r="15" spans="3:8" ht="12.75">
      <c r="C15" s="78"/>
      <c r="D15" s="76"/>
      <c r="E15" s="76"/>
      <c r="F15" s="76"/>
      <c r="G15" s="76"/>
      <c r="H15" s="77"/>
    </row>
    <row r="16" spans="3:8" ht="12.75">
      <c r="C16" s="78"/>
      <c r="D16" s="76"/>
      <c r="E16" s="76"/>
      <c r="F16" s="76"/>
      <c r="G16" s="76"/>
      <c r="H16" s="77"/>
    </row>
    <row r="17" spans="3:8" ht="12.75">
      <c r="C17" s="78"/>
      <c r="D17" s="76"/>
      <c r="E17" s="76"/>
      <c r="F17" s="76"/>
      <c r="G17" s="76"/>
      <c r="H17" s="77"/>
    </row>
    <row r="18" spans="3:8" ht="12.75">
      <c r="C18" s="78"/>
      <c r="D18" s="76"/>
      <c r="E18" s="76"/>
      <c r="F18" s="76"/>
      <c r="G18" s="76"/>
      <c r="H18" s="77"/>
    </row>
    <row r="19" spans="3:8" ht="12.75">
      <c r="C19" s="78"/>
      <c r="D19" s="76"/>
      <c r="E19" s="76"/>
      <c r="F19" s="76"/>
      <c r="G19" s="76"/>
      <c r="H19" s="77"/>
    </row>
    <row r="20" spans="3:8" ht="7.5" customHeight="1">
      <c r="C20" s="79"/>
      <c r="D20" s="80"/>
      <c r="E20" s="80"/>
      <c r="F20" s="80"/>
      <c r="G20" s="80"/>
      <c r="H20" s="81"/>
    </row>
    <row r="21" ht="7.5" customHeight="1"/>
  </sheetData>
  <mergeCells count="1">
    <mergeCell ref="C4:F8"/>
  </mergeCells>
  <printOptions/>
  <pageMargins left="0.75" right="0.75" top="1" bottom="1" header="0" footer="0"/>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Ark6"/>
  <dimension ref="B2:B21"/>
  <sheetViews>
    <sheetView showGridLines="0" showRowColHeaders="0" workbookViewId="0" topLeftCell="A1">
      <selection activeCell="A1" sqref="A1"/>
    </sheetView>
  </sheetViews>
  <sheetFormatPr defaultColWidth="9.140625" defaultRowHeight="12.75" customHeight="1"/>
  <cols>
    <col min="1" max="1" width="7.7109375" style="41" customWidth="1"/>
    <col min="2" max="2" width="87.7109375" style="41" customWidth="1"/>
    <col min="3" max="16384" width="9.140625" style="41" customWidth="1"/>
  </cols>
  <sheetData>
    <row r="2" ht="12.75" customHeight="1">
      <c r="B2" s="50">
        <f>sidevirkopl+1</f>
        <v>3</v>
      </c>
    </row>
    <row r="3" ht="12.75" customHeight="1">
      <c r="B3" s="129"/>
    </row>
    <row r="4" ht="12.75" customHeight="1">
      <c r="B4" s="50"/>
    </row>
    <row r="5" ht="39" customHeight="1">
      <c r="B5" s="136" t="s">
        <v>233</v>
      </c>
    </row>
    <row r="6" ht="12.75" customHeight="1">
      <c r="B6" s="50"/>
    </row>
    <row r="7" ht="12.75" customHeight="1">
      <c r="B7" s="50"/>
    </row>
    <row r="8" ht="12.75" customHeight="1">
      <c r="B8" s="50"/>
    </row>
    <row r="9" ht="12.75" customHeight="1">
      <c r="B9" s="50"/>
    </row>
    <row r="10" ht="15" customHeight="1">
      <c r="B10" s="185" t="s">
        <v>234</v>
      </c>
    </row>
    <row r="11" ht="25.5">
      <c r="B11" s="186" t="str">
        <f>aktiviteter</f>
        <v>Virksomhedens aktiviteter består i at udføre elinstallationsarbejde i lokalområdet og handel med hårdehvidevarer.</v>
      </c>
    </row>
    <row r="12" ht="15" customHeight="1">
      <c r="B12" s="187"/>
    </row>
    <row r="13" ht="15" customHeight="1">
      <c r="B13" s="188" t="s">
        <v>242</v>
      </c>
    </row>
    <row r="14" ht="25.5">
      <c r="B14" s="189" t="str">
        <f>begivenheder</f>
        <v>Virksomhedens aktiviteter består i at udføre elinstallationsarbejde i lokalområdet og handel med hårdehvidevarer.</v>
      </c>
    </row>
    <row r="15" ht="15" customHeight="1">
      <c r="B15" s="187"/>
    </row>
    <row r="16" ht="12.75">
      <c r="B16" s="188" t="s">
        <v>243</v>
      </c>
    </row>
    <row r="17" ht="25.5">
      <c r="B17" s="189" t="str">
        <f>drrtal&amp;" "&amp;drr</f>
        <v>Årets resultat på 703.142 kr.  er tilfredsstillende og bedre end forventet som følge af den øgede aktivitet i regnskabsåret.</v>
      </c>
    </row>
    <row r="18" ht="15" customHeight="1">
      <c r="B18" s="187"/>
    </row>
    <row r="19" ht="15" customHeight="1">
      <c r="B19" s="188" t="s">
        <v>244</v>
      </c>
    </row>
    <row r="20" ht="25.5">
      <c r="B20" s="189" t="str">
        <f>begivenhederudløb</f>
        <v>Der er ikke efter regnskabsårets udløb indtruffet begivenheder af væsentlig betydning for virksomhedens finansielle stilling.</v>
      </c>
    </row>
    <row r="21" ht="15" customHeight="1">
      <c r="B21" s="187"/>
    </row>
  </sheetData>
  <printOptions/>
  <pageMargins left="0.984251968503937" right="0.3937007874015748" top="0.3937007874015748"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1"/>
  <dimension ref="B2:B108"/>
  <sheetViews>
    <sheetView showGridLines="0" showRowColHeaders="0" workbookViewId="0" topLeftCell="A1">
      <selection activeCell="A1" sqref="A1"/>
    </sheetView>
  </sheetViews>
  <sheetFormatPr defaultColWidth="9.140625" defaultRowHeight="15" customHeight="1"/>
  <cols>
    <col min="1" max="1" width="7.7109375" style="1" customWidth="1"/>
    <col min="2" max="2" width="87.7109375" style="1" customWidth="1"/>
    <col min="3" max="16384" width="9.140625" style="1" customWidth="1"/>
  </cols>
  <sheetData>
    <row r="1" ht="12.75" customHeight="1"/>
    <row r="2" ht="12.75" customHeight="1">
      <c r="B2" s="162">
        <f>sideåårsb+1</f>
        <v>4</v>
      </c>
    </row>
    <row r="3" ht="12.75" customHeight="1">
      <c r="B3" s="161"/>
    </row>
    <row r="4" ht="12.75" customHeight="1">
      <c r="B4" s="161"/>
    </row>
    <row r="5" ht="39" customHeight="1">
      <c r="B5" s="163" t="s">
        <v>245</v>
      </c>
    </row>
    <row r="6" ht="12.75" customHeight="1">
      <c r="B6" s="190"/>
    </row>
    <row r="7" ht="12.75" customHeight="1">
      <c r="B7" s="190"/>
    </row>
    <row r="8" ht="12.75" customHeight="1">
      <c r="B8" s="190"/>
    </row>
    <row r="9" ht="12.75" customHeight="1">
      <c r="B9" s="190"/>
    </row>
    <row r="10" ht="38.25">
      <c r="B10" s="191" t="str">
        <f>Tekst_input!C23</f>
        <v>Årsrapporten for Elstrøm for 2004 er aflagt i overensstemmelse med årsregnskabslovens bestemmelser for klasse A-virksomheder. Herudover har virksomheden valgt at følge reglerne for klasse B om ledelsesberetningen, jf. årsregnskabslovens § 77.</v>
      </c>
    </row>
    <row r="11" ht="15" customHeight="1">
      <c r="B11" s="192"/>
    </row>
    <row r="12" ht="12.75">
      <c r="B12" s="192" t="str">
        <f>Tekst_input!C26</f>
        <v>Årsrapporten er aflagt efter samme regnskabspraksis som foregående år.</v>
      </c>
    </row>
    <row r="13" ht="15" customHeight="1">
      <c r="B13" s="192"/>
    </row>
    <row r="14" ht="15" customHeight="1">
      <c r="B14" s="192"/>
    </row>
    <row r="15" ht="15" customHeight="1">
      <c r="B15" s="193" t="str">
        <f>IF(aps=FALSE,Tekst_input!C29,Tekst_input!C37)</f>
        <v>Generelt</v>
      </c>
    </row>
    <row r="16" ht="15" customHeight="1">
      <c r="B16" s="193"/>
    </row>
    <row r="17" ht="15" customHeight="1">
      <c r="B17" s="194" t="str">
        <f>Tekst_input!C30</f>
        <v>Formuefordeling</v>
      </c>
    </row>
    <row r="18" ht="25.5">
      <c r="B18" s="192" t="str">
        <f>Tekst_input!C31</f>
        <v>Virksomheden indgår i indehaverens og dennes ægtefælles formuefællesskab. Der er ikke i årsrapporten foretaget fordeling af aktiver og passiver efter bestemmelserne i ægteskabslovgivningen.</v>
      </c>
    </row>
    <row r="19" ht="15" customHeight="1">
      <c r="B19" s="192"/>
    </row>
    <row r="20" ht="15" customHeight="1">
      <c r="B20" s="194" t="str">
        <f>Tekst_input!C33</f>
        <v>Vederlag til indehaver</v>
      </c>
    </row>
    <row r="21" ht="12.75">
      <c r="B21" s="192" t="str">
        <f>Tekst_input!C34</f>
        <v>Der er ikke i resultatopgørelsen indregnet vederlag til virksomhedens indehaver.</v>
      </c>
    </row>
    <row r="22" ht="15" customHeight="1" hidden="1">
      <c r="B22" s="192"/>
    </row>
    <row r="23" ht="165.75" hidden="1">
      <c r="B23" s="192" t="str">
        <f>Tekst_input!C38</f>
        <v>I resultatopgørelsen indregnes indtægter i takt med, at de indtjenes, herunder indregnes værdireguleringer af finansielle aktiver og forpligtelser. I resultatopgørelsen indregnes ligeledes alle omkostninger, herunder afskrivninger og nedskrivninger.
Aktiver indregnes i balancen, når det er sandsynligt, at fremtidige økonomiske fordele vil tilflyde selskabet, og aktivets værdi kan måles pålideligt.
Forpligtelser indregnes i balancen, når det er sandsynligt, at fremtidige økonomiske fordele vil fragå selskabet, og forpligtelsens værdi kan måles pålideligt.
Ved første indregning måles aktiver og forpligtelser til kostpris. Efterfølgende måles aktiver og forpligtelser som beskrevet for hver enkelt regnskabspost nedenfor.
Ved indregning og måling tages hensyn til forudsigelige tab og risici, der fremkommer inden årsrapporten aflægges, og som be- eller afkræfter forhold, der eksisterede på balancedagen.
</v>
      </c>
    </row>
    <row r="24" ht="15" customHeight="1">
      <c r="B24" s="192"/>
    </row>
    <row r="25" ht="15" customHeight="1">
      <c r="B25" s="192"/>
    </row>
    <row r="26" ht="15" customHeight="1">
      <c r="B26" s="192"/>
    </row>
    <row r="27" ht="12" customHeight="1">
      <c r="B27" s="200">
        <f>sideårprak+1</f>
        <v>5</v>
      </c>
    </row>
    <row r="28" ht="12.75" customHeight="1">
      <c r="B28" s="200"/>
    </row>
    <row r="29" ht="12.75" customHeight="1">
      <c r="B29" s="200"/>
    </row>
    <row r="30" ht="39" customHeight="1">
      <c r="B30" s="195" t="s">
        <v>245</v>
      </c>
    </row>
    <row r="31" ht="12.75" customHeight="1">
      <c r="B31" s="190"/>
    </row>
    <row r="32" ht="12.75" customHeight="1">
      <c r="B32" s="190"/>
    </row>
    <row r="33" ht="12.75" customHeight="1">
      <c r="B33" s="190"/>
    </row>
    <row r="34" ht="12.75" customHeight="1">
      <c r="B34" s="190"/>
    </row>
    <row r="35" ht="15" customHeight="1">
      <c r="B35" s="193" t="str">
        <f>Tekst_input!C41</f>
        <v>Resultatopgørelse</v>
      </c>
    </row>
    <row r="36" ht="15" customHeight="1">
      <c r="B36" s="193"/>
    </row>
    <row r="37" ht="15" customHeight="1">
      <c r="B37" s="196" t="str">
        <f>Tekst_input!C42</f>
        <v>Nettoomsætning</v>
      </c>
    </row>
    <row r="38" ht="38.25">
      <c r="B38" s="191" t="str">
        <f>Tekst_input!C43</f>
        <v>Nettoomsætning indregnes i resultatopgørelsen, såfremt levering og risikoovergang til køber har fundet sted inden årets udgang. Nettoomsætning indregnes ekskl. moms og med fradrag af rabatter i forbindelse med salget.</v>
      </c>
    </row>
    <row r="39" ht="15" customHeight="1">
      <c r="B39" s="191"/>
    </row>
    <row r="40" ht="15" customHeight="1">
      <c r="B40" s="196" t="str">
        <f>Tekst_input!C45</f>
        <v>Råvarer og hjælpematerialer</v>
      </c>
    </row>
    <row r="41" ht="25.5">
      <c r="B41" s="191" t="str">
        <f>Tekst_input!C46</f>
        <v>Råvarer og hjælpematerialer omfatter kostpris for årets solgte varer og varer medgået til produktionen i året. </v>
      </c>
    </row>
    <row r="42" ht="15" customHeight="1">
      <c r="B42" s="192"/>
    </row>
    <row r="43" ht="15" customHeight="1">
      <c r="B43" s="196" t="str">
        <f>Tekst_input!C48</f>
        <v>Ekstern assistance</v>
      </c>
    </row>
    <row r="44" ht="12.75">
      <c r="B44" s="191" t="str">
        <f>Tekst_input!C49</f>
        <v>Ekstern assistance vedrører honorarer for arbejde udført af anden elinstallatør.</v>
      </c>
    </row>
    <row r="45" ht="15" customHeight="1">
      <c r="B45" s="192"/>
    </row>
    <row r="46" ht="15" customHeight="1">
      <c r="B46" s="196" t="str">
        <f>Tekst_input!C51</f>
        <v>Distributionsomkostninger</v>
      </c>
    </row>
    <row r="47" ht="25.5">
      <c r="B47" s="191" t="str">
        <f>Tekst_input!C52</f>
        <v>Distributionsomkostninger omfatter omkostninger, der vedrører distribution og salg, reklame- og markedsføringsomkostninger, autodrift mv. </v>
      </c>
    </row>
    <row r="48" ht="15" customHeight="1">
      <c r="B48" s="191"/>
    </row>
    <row r="49" ht="15" customHeight="1">
      <c r="B49" s="196" t="str">
        <f>Tekst_input!C54</f>
        <v>Administrationsomkostninger</v>
      </c>
    </row>
    <row r="50" ht="12.75">
      <c r="B50" s="191" t="str">
        <f>Tekst_input!C55</f>
        <v>Administrationsomkostninger omfatter kontoromkostninger, forsikringer og kontingenter mv.</v>
      </c>
    </row>
    <row r="51" ht="15" customHeight="1">
      <c r="B51" s="191"/>
    </row>
    <row r="52" ht="15" customHeight="1">
      <c r="B52" s="196" t="str">
        <f>Tekst_input!C57</f>
        <v>Personaleomkostninger</v>
      </c>
    </row>
    <row r="53" ht="38.25">
      <c r="B53" s="191" t="str">
        <f>Tekst_input!C58</f>
        <v>Personaleomkostninger omfatter lønninger og øvrige lønrelaterede omkostninger, herunder sygedagpenge til virksomhedens ansatte med fradrag af lønrefusioner fra det offentlige. Desuden indregnes arbejdsbeklædning og øvrige personaleomkostninger.</v>
      </c>
    </row>
    <row r="54" ht="15" customHeight="1">
      <c r="B54" s="191"/>
    </row>
    <row r="55" ht="15" customHeight="1">
      <c r="B55" s="196" t="str">
        <f>Tekst_input!C60</f>
        <v>Andre driftsindtægter og -omkostninger</v>
      </c>
    </row>
    <row r="56" ht="25.5">
      <c r="B56" s="191" t="str">
        <f>Tekst_input!C61</f>
        <v>Andre driftsindtægter og -omkostninger indeholder regnskabsposter af sekundær karakter i forhold til virksomhedernes aktiviteter, herunder fortjeneste og tab ved salg af materielle anlægsaktiver.</v>
      </c>
    </row>
    <row r="57" ht="15" customHeight="1">
      <c r="B57" s="191"/>
    </row>
    <row r="58" ht="15" customHeight="1">
      <c r="B58" s="196" t="str">
        <f>Tekst_input!C63</f>
        <v>Finansielle indtægter og omkostninger</v>
      </c>
    </row>
    <row r="59" ht="38.25">
      <c r="B59" s="191" t="str">
        <f>Tekst_input!C64</f>
        <v>Finansielle indtægter og omkostninger indregnes i resultatopgørelsen med de beløb, der vedrører regnskabsåret. Finansielle poster omfatter renteindtægter og -omkostninger, realiserede og urealiserede kursgevinster og -tab vedrørende værdipapirer.</v>
      </c>
    </row>
    <row r="60" ht="15" customHeight="1">
      <c r="B60" s="191"/>
    </row>
    <row r="61" ht="15" customHeight="1">
      <c r="B61" s="196" t="str">
        <f>Tekst_input!C66</f>
        <v>Skatter</v>
      </c>
    </row>
    <row r="62" ht="63.75">
      <c r="B62" s="191" t="str">
        <f>Tekst_input!C67</f>
        <v>Da virksomheden er personligt ejet, indgår det skattemæssige resultat af virksomheden i indehaverens samlede indkomst- og formueforhold vedrørende regnskabsåret. Skyldige og udskudte skatter indregnes ikke i resultatopgørelsen og balancen. Den forventede udskudte skat, beregnet på baggrund af alle midlertidige forskelle mellem regnskabsmæssig og skattemæssig værdi af virksomhedens aktiver og forpligtelser, oplyses i noterne.</v>
      </c>
    </row>
    <row r="63" ht="15" customHeight="1">
      <c r="B63" s="191"/>
    </row>
    <row r="64" ht="15" customHeight="1" hidden="1">
      <c r="B64" s="196" t="str">
        <f>Tekst_input!C69</f>
        <v>Skat af årets resultat</v>
      </c>
    </row>
    <row r="65" ht="76.5" hidden="1">
      <c r="B65" s="191" t="str">
        <f>Tekst_input!C70</f>
        <v>Årets skat, som består af årets aktuelle skat og forskydning i udskudt skat, indregnes i resultatopgørelsen med den del, der kan henføres til årets resultat, og direkte på egenkapitalen med den del, der kan henføres til posteringer direkte på egenkapitalen. Udskudt skat måles på grundlag af de skatteregler og skattesatser, der med balancedagens lovgivning vil være gældende, når den udskudte skat forventes udløst som aktuel skat. Ændring i udskudt skat som følge af ændringer i skattesatser indregnes i resultatopgørelsen. For indeværende år er anvendt en skattesats på 30 %.</v>
      </c>
    </row>
    <row r="66" ht="12.75" customHeight="1">
      <c r="B66" s="200">
        <f>sideårprak+2</f>
        <v>6</v>
      </c>
    </row>
    <row r="67" ht="12.75" customHeight="1">
      <c r="B67" s="200"/>
    </row>
    <row r="68" ht="12.75" customHeight="1">
      <c r="B68" s="200"/>
    </row>
    <row r="69" ht="39" customHeight="1">
      <c r="B69" s="197" t="s">
        <v>245</v>
      </c>
    </row>
    <row r="70" ht="12.75" customHeight="1">
      <c r="B70" s="190"/>
    </row>
    <row r="71" ht="12.75" customHeight="1">
      <c r="B71" s="190"/>
    </row>
    <row r="72" ht="12.75" customHeight="1">
      <c r="B72" s="190"/>
    </row>
    <row r="73" ht="12.75" customHeight="1">
      <c r="B73" s="190"/>
    </row>
    <row r="74" ht="15" customHeight="1">
      <c r="B74" s="193" t="str">
        <f>Tekst_input!C73</f>
        <v>Balance</v>
      </c>
    </row>
    <row r="75" ht="15" customHeight="1">
      <c r="B75" s="193"/>
    </row>
    <row r="76" ht="15" customHeight="1">
      <c r="B76" s="196" t="str">
        <f>Tekst_input!C74</f>
        <v>Immaterielle anlægsaktiver</v>
      </c>
    </row>
    <row r="77" ht="25.5">
      <c r="B77" s="198" t="str">
        <f>Tekst_input!C75</f>
        <v>Erhvervet goodwill måles til kostpris med fradrag af akkumulerede afskrivninger. Goodwill afskrives lineært over den vurderede økonomiske brugstid, der er vurderet til 5 år.</v>
      </c>
    </row>
    <row r="78" ht="12.75">
      <c r="B78" s="198"/>
    </row>
    <row r="79" ht="38.25">
      <c r="B79" s="198" t="str">
        <f>Tekst_input!C77</f>
        <v>Patenter og licenser måles til kostpris med fradrag af akkumulerede afskrivninger eller til genindvindingsværdien, hvor denne er lavere. Patenter afskrives over den resterende patentperiode, og licenser afskrives over aftaleperioden, dog maksimalt 8 år.</v>
      </c>
    </row>
    <row r="80" ht="15" customHeight="1">
      <c r="B80" s="193"/>
    </row>
    <row r="81" ht="15" customHeight="1">
      <c r="B81" s="196" t="str">
        <f>Tekst_input!C79</f>
        <v>Materielle anlægsaktiver</v>
      </c>
    </row>
    <row r="82" ht="12.75">
      <c r="B82" s="199" t="str">
        <f>Tekst_input!C80</f>
        <v>Materielle anlægsaktiver måles til kostpris med fradrag af akkumulerede afskrivninger.</v>
      </c>
    </row>
    <row r="83" ht="15" customHeight="1">
      <c r="B83" s="192"/>
    </row>
    <row r="84" ht="25.5">
      <c r="B84" s="199" t="str">
        <f>Tekst_input!C82</f>
        <v>Der foretages lineære afskrivninger baseret på aktivernes forventede brugstider efter følgende principper:</v>
      </c>
    </row>
    <row r="85" ht="15" customHeight="1">
      <c r="B85" s="199"/>
    </row>
    <row r="86" ht="12.75">
      <c r="B86" s="199" t="str">
        <f>Tekst_input!C84&amp;" - "&amp;Tekst_input!H84</f>
        <v>Bygninger - 25 år</v>
      </c>
    </row>
    <row r="87" ht="12.75">
      <c r="B87" s="199" t="str">
        <f>Tekst_input!C86&amp;" - "&amp;Tekst_input!H86</f>
        <v>Biler - 5 år</v>
      </c>
    </row>
    <row r="88" ht="12.75">
      <c r="B88" s="199" t="str">
        <f>Tekst_input!C88&amp;" - "&amp;Tekst_input!H88</f>
        <v>Øvrigt driftsmateriel og inventar - 5 år</v>
      </c>
    </row>
    <row r="89" ht="15" customHeight="1">
      <c r="B89" s="199"/>
    </row>
    <row r="90" ht="25.5">
      <c r="B90" s="199" t="str">
        <f>Tekst_input!C90</f>
        <v>Aktiver med en kostpris på under 10.800 kr. pr. enhed indregnes som omkostninger i resultatopgørelsen i anskaffelsesåret.</v>
      </c>
    </row>
    <row r="91" ht="15" customHeight="1">
      <c r="B91" s="199"/>
    </row>
    <row r="92" ht="51">
      <c r="B92" s="199" t="str">
        <f>Tekst_input!C92</f>
        <v>Fortjeneste og tab ved afhændelse af materielle anlægsaktiver opgøres som forskellen mellem salgsprisen med fradrag af salgsomkostninger og den regnskabsmæssige værdi på salgstidspunktet. Fortjeneste eller tab indregnes i resultatopgørelsen under andre driftsindtægter eller andre driftsomkostninger. </v>
      </c>
    </row>
    <row r="93" ht="15" customHeight="1">
      <c r="B93" s="199"/>
    </row>
    <row r="94" ht="15" customHeight="1">
      <c r="B94" s="196" t="str">
        <f>Tekst_input!C94</f>
        <v>Varebeholdninger</v>
      </c>
    </row>
    <row r="95" ht="25.5">
      <c r="B95" s="199" t="str">
        <f>Tekst_input!C95</f>
        <v>Varebeholdninger måles til kostpris efter FIFO-metoden. I tilfælde, hvor nettorealisationsværdien er lavere end kostprisen, nedskrives til denne lavere værdi.</v>
      </c>
    </row>
    <row r="96" ht="15" customHeight="1">
      <c r="B96" s="199"/>
    </row>
    <row r="97" ht="15" customHeight="1">
      <c r="B97" s="196" t="str">
        <f>Tekst_input!C97</f>
        <v>Tilgodehavender</v>
      </c>
    </row>
    <row r="98" ht="25.5">
      <c r="B98" s="199" t="str">
        <f>Tekst_input!C98</f>
        <v>Tilgodehavender måles til nominel værdi med fradrag af nedskrivninger til imødegåelse af forventede tab.</v>
      </c>
    </row>
    <row r="99" ht="15" customHeight="1">
      <c r="B99" s="192"/>
    </row>
    <row r="100" ht="15" customHeight="1">
      <c r="B100" s="196" t="str">
        <f>Tekst_input!C100</f>
        <v>Periodeafgrænsningsposter</v>
      </c>
    </row>
    <row r="101" ht="25.5">
      <c r="B101" s="199" t="str">
        <f>Tekst_input!C101</f>
        <v>Periodeafgrænsningsposter indregnet under aktiver omfatter afholdte udgifter vedrørende efterfølgende regnskabsår.</v>
      </c>
    </row>
    <row r="102" ht="15" customHeight="1">
      <c r="B102" s="199"/>
    </row>
    <row r="103" ht="15" customHeight="1">
      <c r="B103" s="196" t="str">
        <f>Tekst_input!C103</f>
        <v>Værdipapirer</v>
      </c>
    </row>
    <row r="104" ht="25.5">
      <c r="B104" s="199" t="str">
        <f>Tekst_input!C104</f>
        <v>Værdipapirer, der er indregnet under omsætningsaktiver, omfatter børsnoterede obligationer, der måles til dagsværdi på balancedagen.</v>
      </c>
    </row>
    <row r="105" ht="15" customHeight="1">
      <c r="B105" s="199"/>
    </row>
    <row r="106" ht="15" customHeight="1">
      <c r="B106" s="196" t="str">
        <f>Tekst_input!C106</f>
        <v>Prioritetsgæld</v>
      </c>
    </row>
    <row r="107" ht="12.75">
      <c r="B107" s="199" t="str">
        <f>Tekst_input!C107</f>
        <v>Prioritetsgæld måles til den nominelle restgæld på balancedagen. </v>
      </c>
    </row>
    <row r="108" ht="15" customHeight="1">
      <c r="B108" s="192"/>
    </row>
  </sheetData>
  <printOptions/>
  <pageMargins left="0.984251968503937" right="0.3937007874015748" top="0.3937007874015748" bottom="0.3937007874015748" header="0" footer="0"/>
  <pageSetup horizontalDpi="600" verticalDpi="600" orientation="portrait" paperSize="9" r:id="rId1"/>
  <rowBreaks count="2" manualBreakCount="2">
    <brk id="26" max="255" man="1"/>
    <brk id="65" max="255" man="1"/>
  </rowBreaks>
</worksheet>
</file>

<file path=xl/worksheets/sheet12.xml><?xml version="1.0" encoding="utf-8"?>
<worksheet xmlns="http://schemas.openxmlformats.org/spreadsheetml/2006/main" xmlns:r="http://schemas.openxmlformats.org/officeDocument/2006/relationships">
  <sheetPr codeName="Ark2"/>
  <dimension ref="B2:O95"/>
  <sheetViews>
    <sheetView showGridLines="0" showRowColHeaders="0" workbookViewId="0" topLeftCell="A1">
      <selection activeCell="A1" sqref="A1"/>
    </sheetView>
  </sheetViews>
  <sheetFormatPr defaultColWidth="9.140625" defaultRowHeight="16.5" customHeight="1"/>
  <cols>
    <col min="1" max="1" width="7.7109375" style="1" customWidth="1"/>
    <col min="2" max="2" width="2.7109375" style="1" customWidth="1"/>
    <col min="3" max="3" width="10.7109375" style="1" customWidth="1"/>
    <col min="4" max="4" width="1.7109375" style="1" customWidth="1"/>
    <col min="5" max="5" width="10.7109375" style="1" customWidth="1"/>
    <col min="6" max="6" width="1.7109375" style="1" customWidth="1"/>
    <col min="7" max="7" width="10.7109375" style="1" customWidth="1"/>
    <col min="8" max="8" width="1.7109375" style="1" customWidth="1"/>
    <col min="9" max="9" width="10.7109375" style="232" customWidth="1"/>
    <col min="10" max="10" width="1.7109375" style="1" customWidth="1"/>
    <col min="11" max="11" width="10.7109375" style="1" customWidth="1"/>
    <col min="12" max="12" width="1.7109375" style="1" customWidth="1"/>
    <col min="13" max="13" width="10.7109375" style="1" customWidth="1"/>
    <col min="14" max="14" width="1.7109375" style="1" customWidth="1"/>
    <col min="15" max="15" width="10.7109375" style="1" customWidth="1"/>
    <col min="16" max="16384" width="9.140625" style="1" customWidth="1"/>
  </cols>
  <sheetData>
    <row r="1" ht="12.75" customHeight="1"/>
    <row r="2" spans="2:15" ht="12.75" customHeight="1">
      <c r="B2" s="434">
        <f>sideårprak3+1</f>
        <v>7</v>
      </c>
      <c r="C2" s="434"/>
      <c r="D2" s="434"/>
      <c r="E2" s="434"/>
      <c r="F2" s="434"/>
      <c r="G2" s="434"/>
      <c r="H2" s="434"/>
      <c r="I2" s="434"/>
      <c r="J2" s="434"/>
      <c r="K2" s="434"/>
      <c r="L2" s="434"/>
      <c r="M2" s="434"/>
      <c r="N2" s="434"/>
      <c r="O2" s="434"/>
    </row>
    <row r="3" spans="2:15" ht="12.75" customHeight="1">
      <c r="B3" s="161"/>
      <c r="C3" s="161"/>
      <c r="D3" s="161"/>
      <c r="E3" s="161"/>
      <c r="F3" s="161"/>
      <c r="G3" s="161"/>
      <c r="H3" s="161"/>
      <c r="I3" s="233"/>
      <c r="J3" s="161"/>
      <c r="K3" s="161"/>
      <c r="L3" s="161"/>
      <c r="M3" s="161"/>
      <c r="N3" s="161"/>
      <c r="O3" s="161"/>
    </row>
    <row r="4" spans="2:15" ht="12.75" customHeight="1">
      <c r="B4" s="161"/>
      <c r="C4" s="161"/>
      <c r="D4" s="161"/>
      <c r="E4" s="161"/>
      <c r="F4" s="161"/>
      <c r="G4" s="161"/>
      <c r="H4" s="161"/>
      <c r="I4" s="233"/>
      <c r="J4" s="161"/>
      <c r="K4" s="161"/>
      <c r="L4" s="161"/>
      <c r="M4" s="161"/>
      <c r="N4" s="161"/>
      <c r="O4" s="161"/>
    </row>
    <row r="5" spans="2:15" ht="39" customHeight="1">
      <c r="B5" s="206" t="s">
        <v>290</v>
      </c>
      <c r="C5" s="161"/>
      <c r="D5" s="161"/>
      <c r="E5" s="161"/>
      <c r="F5" s="161"/>
      <c r="G5" s="161"/>
      <c r="H5" s="161"/>
      <c r="I5" s="233"/>
      <c r="J5" s="161"/>
      <c r="K5" s="161"/>
      <c r="L5" s="161"/>
      <c r="M5" s="161"/>
      <c r="N5" s="161"/>
      <c r="O5" s="161"/>
    </row>
    <row r="6" spans="2:15" ht="12.75" customHeight="1">
      <c r="B6" s="161"/>
      <c r="C6" s="161"/>
      <c r="D6" s="161"/>
      <c r="E6" s="161"/>
      <c r="F6" s="161"/>
      <c r="G6" s="161"/>
      <c r="H6" s="161"/>
      <c r="I6" s="233"/>
      <c r="J6" s="161"/>
      <c r="K6" s="161"/>
      <c r="L6" s="161"/>
      <c r="M6" s="161"/>
      <c r="N6" s="161"/>
      <c r="O6" s="161"/>
    </row>
    <row r="7" spans="2:15" ht="12.75" customHeight="1">
      <c r="B7" s="161"/>
      <c r="C7" s="161"/>
      <c r="D7" s="161"/>
      <c r="E7" s="161"/>
      <c r="F7" s="161"/>
      <c r="G7" s="161"/>
      <c r="H7" s="161"/>
      <c r="I7" s="233"/>
      <c r="J7" s="161"/>
      <c r="K7" s="161"/>
      <c r="L7" s="161"/>
      <c r="M7" s="161"/>
      <c r="N7" s="161"/>
      <c r="O7" s="161"/>
    </row>
    <row r="8" spans="2:15" ht="12.75" customHeight="1">
      <c r="B8" s="161"/>
      <c r="C8" s="161"/>
      <c r="D8" s="161"/>
      <c r="E8" s="161"/>
      <c r="F8" s="161"/>
      <c r="G8" s="161"/>
      <c r="H8" s="161"/>
      <c r="I8" s="233"/>
      <c r="J8" s="161"/>
      <c r="K8" s="161"/>
      <c r="L8" s="161"/>
      <c r="M8" s="161"/>
      <c r="N8" s="161"/>
      <c r="O8" s="161"/>
    </row>
    <row r="9" spans="2:15" ht="12.75" customHeight="1">
      <c r="B9" s="161"/>
      <c r="C9" s="161"/>
      <c r="D9" s="161"/>
      <c r="E9" s="161"/>
      <c r="F9" s="161"/>
      <c r="G9" s="161"/>
      <c r="H9" s="161"/>
      <c r="I9" s="233"/>
      <c r="J9" s="161"/>
      <c r="K9" s="161"/>
      <c r="L9" s="161"/>
      <c r="M9" s="236">
        <f>raa1</f>
        <v>2004</v>
      </c>
      <c r="N9" s="236"/>
      <c r="O9" s="236">
        <f>raa0</f>
        <v>2003</v>
      </c>
    </row>
    <row r="10" spans="2:15" ht="27" customHeight="1">
      <c r="B10" s="53" t="s">
        <v>68</v>
      </c>
      <c r="C10" s="135"/>
      <c r="D10" s="135"/>
      <c r="E10" s="205"/>
      <c r="F10" s="135"/>
      <c r="G10" s="205"/>
      <c r="H10" s="135"/>
      <c r="I10" s="234">
        <v>1</v>
      </c>
      <c r="J10" s="135"/>
      <c r="K10" s="135"/>
      <c r="L10" s="135"/>
      <c r="M10" s="237">
        <f>Ånoter!M15</f>
        <v>4035902</v>
      </c>
      <c r="N10" s="211"/>
      <c r="O10" s="237">
        <f>Ånoter!O15</f>
        <v>3448401</v>
      </c>
    </row>
    <row r="11" spans="2:15" ht="16.5" customHeight="1">
      <c r="B11" s="135" t="s">
        <v>76</v>
      </c>
      <c r="C11" s="135"/>
      <c r="D11" s="135"/>
      <c r="E11" s="135"/>
      <c r="F11" s="205"/>
      <c r="G11" s="135"/>
      <c r="H11" s="205"/>
      <c r="I11" s="234"/>
      <c r="J11" s="135"/>
      <c r="K11" s="135"/>
      <c r="L11" s="135"/>
      <c r="M11" s="205">
        <f>Saldobalance_Input!C15+Saldobalance_Input!C16</f>
        <v>1488510</v>
      </c>
      <c r="N11" s="135"/>
      <c r="O11" s="205">
        <f>Saldobalance_Input!F15+Saldobalance_Input!F16</f>
        <v>1168737</v>
      </c>
    </row>
    <row r="12" spans="2:15" ht="16.5" customHeight="1">
      <c r="B12" s="135" t="s">
        <v>133</v>
      </c>
      <c r="C12" s="135"/>
      <c r="D12" s="135"/>
      <c r="E12" s="135"/>
      <c r="F12" s="205"/>
      <c r="G12" s="135"/>
      <c r="H12" s="135"/>
      <c r="I12" s="234"/>
      <c r="J12" s="135"/>
      <c r="K12" s="135"/>
      <c r="L12" s="135"/>
      <c r="M12" s="205">
        <f>Saldobalance_Input!C17</f>
        <v>50000</v>
      </c>
      <c r="N12" s="135"/>
      <c r="O12" s="205">
        <f>Saldobalance_Input!F17</f>
        <v>0</v>
      </c>
    </row>
    <row r="13" spans="2:15" ht="27" customHeight="1">
      <c r="B13" s="53" t="s">
        <v>130</v>
      </c>
      <c r="C13" s="135"/>
      <c r="D13" s="135"/>
      <c r="E13" s="135"/>
      <c r="F13" s="205"/>
      <c r="G13" s="135"/>
      <c r="H13" s="205"/>
      <c r="I13" s="234"/>
      <c r="J13" s="135"/>
      <c r="K13" s="135"/>
      <c r="L13" s="135"/>
      <c r="M13" s="226">
        <f>M10-M11-M12</f>
        <v>2497392</v>
      </c>
      <c r="N13" s="211"/>
      <c r="O13" s="226">
        <f>O10-O11-O12</f>
        <v>2279664</v>
      </c>
    </row>
    <row r="14" spans="2:15" ht="16.5" customHeight="1">
      <c r="B14" s="53"/>
      <c r="C14" s="135"/>
      <c r="D14" s="135"/>
      <c r="E14" s="135"/>
      <c r="F14" s="205"/>
      <c r="G14" s="135"/>
      <c r="H14" s="205"/>
      <c r="I14" s="234"/>
      <c r="J14" s="135"/>
      <c r="K14" s="135"/>
      <c r="L14" s="135"/>
      <c r="M14" s="135"/>
      <c r="N14" s="135"/>
      <c r="O14" s="135"/>
    </row>
    <row r="15" spans="2:15" ht="16.5" customHeight="1">
      <c r="B15" s="135" t="s">
        <v>135</v>
      </c>
      <c r="C15" s="135"/>
      <c r="D15" s="135"/>
      <c r="E15" s="135"/>
      <c r="F15" s="205"/>
      <c r="G15" s="135"/>
      <c r="H15" s="135"/>
      <c r="I15" s="234">
        <v>2</v>
      </c>
      <c r="J15" s="135"/>
      <c r="K15" s="135"/>
      <c r="L15" s="135"/>
      <c r="M15" s="205">
        <f>Ånoter!M28</f>
        <v>335659</v>
      </c>
      <c r="N15" s="135"/>
      <c r="O15" s="205">
        <f>Ånoter!O28</f>
        <v>332134</v>
      </c>
    </row>
    <row r="16" spans="2:15" ht="16.5" customHeight="1">
      <c r="B16" s="135" t="s">
        <v>147</v>
      </c>
      <c r="C16" s="135"/>
      <c r="D16" s="135"/>
      <c r="E16" s="135"/>
      <c r="F16" s="205"/>
      <c r="G16" s="135"/>
      <c r="H16" s="135"/>
      <c r="I16" s="234">
        <v>3</v>
      </c>
      <c r="J16" s="135"/>
      <c r="K16" s="135"/>
      <c r="L16" s="135"/>
      <c r="M16" s="205">
        <f>Ånoter!M41</f>
        <v>174998</v>
      </c>
      <c r="N16" s="135"/>
      <c r="O16" s="205">
        <f>Ånoter!O41</f>
        <v>164303</v>
      </c>
    </row>
    <row r="17" spans="2:15" ht="16.5" customHeight="1">
      <c r="B17" s="135" t="s">
        <v>159</v>
      </c>
      <c r="C17" s="135"/>
      <c r="D17" s="135"/>
      <c r="E17" s="135"/>
      <c r="F17" s="205"/>
      <c r="G17" s="135"/>
      <c r="H17" s="135"/>
      <c r="I17" s="234">
        <v>4</v>
      </c>
      <c r="J17" s="135"/>
      <c r="K17" s="135"/>
      <c r="L17" s="135"/>
      <c r="M17" s="205">
        <f>Ånoter!M59</f>
        <v>105517</v>
      </c>
      <c r="N17" s="135"/>
      <c r="O17" s="205">
        <f>Ånoter!O59</f>
        <v>105253</v>
      </c>
    </row>
    <row r="18" spans="2:15" ht="16.5" customHeight="1">
      <c r="B18" s="135" t="s">
        <v>166</v>
      </c>
      <c r="C18" s="135"/>
      <c r="D18" s="135"/>
      <c r="E18" s="135"/>
      <c r="F18" s="205"/>
      <c r="G18" s="135"/>
      <c r="H18" s="135"/>
      <c r="I18" s="234">
        <v>5</v>
      </c>
      <c r="J18" s="135"/>
      <c r="K18" s="135"/>
      <c r="L18" s="135"/>
      <c r="M18" s="205">
        <f>Ånoter!M69</f>
        <v>975971</v>
      </c>
      <c r="N18" s="135"/>
      <c r="O18" s="205">
        <f>Ånoter!O69</f>
        <v>929963</v>
      </c>
    </row>
    <row r="19" spans="2:15" ht="16.5" customHeight="1">
      <c r="B19" s="135" t="s">
        <v>175</v>
      </c>
      <c r="C19" s="135"/>
      <c r="D19" s="135"/>
      <c r="E19" s="135"/>
      <c r="F19" s="205"/>
      <c r="G19" s="135"/>
      <c r="H19" s="135"/>
      <c r="I19" s="234">
        <v>6</v>
      </c>
      <c r="J19" s="135"/>
      <c r="K19" s="135"/>
      <c r="L19" s="135"/>
      <c r="M19" s="205">
        <f>Ånoter!M73</f>
        <v>25343</v>
      </c>
      <c r="N19" s="135"/>
      <c r="O19" s="205">
        <f>Ånoter!O73</f>
        <v>0</v>
      </c>
    </row>
    <row r="20" spans="2:15" ht="27" customHeight="1">
      <c r="B20" s="53" t="s">
        <v>291</v>
      </c>
      <c r="C20" s="135"/>
      <c r="D20" s="135"/>
      <c r="E20" s="135"/>
      <c r="F20" s="205"/>
      <c r="G20" s="135"/>
      <c r="H20" s="135"/>
      <c r="I20" s="234"/>
      <c r="J20" s="135"/>
      <c r="K20" s="135"/>
      <c r="L20" s="135"/>
      <c r="M20" s="226">
        <f>M13-SUM(M15:M19)</f>
        <v>879904</v>
      </c>
      <c r="N20" s="211"/>
      <c r="O20" s="226">
        <f>O13-SUM(O15:O19)</f>
        <v>748011</v>
      </c>
    </row>
    <row r="21" spans="2:15" ht="16.5" customHeight="1">
      <c r="B21" s="53"/>
      <c r="C21" s="135"/>
      <c r="D21" s="135"/>
      <c r="E21" s="135"/>
      <c r="F21" s="205"/>
      <c r="G21" s="135"/>
      <c r="H21" s="135"/>
      <c r="I21" s="234"/>
      <c r="J21" s="135"/>
      <c r="K21" s="135"/>
      <c r="L21" s="135"/>
      <c r="M21" s="135"/>
      <c r="N21" s="135"/>
      <c r="O21" s="135"/>
    </row>
    <row r="22" spans="2:15" ht="16.5" customHeight="1">
      <c r="B22" s="135" t="s">
        <v>178</v>
      </c>
      <c r="C22" s="135"/>
      <c r="D22" s="135"/>
      <c r="E22" s="135"/>
      <c r="F22" s="205"/>
      <c r="G22" s="135"/>
      <c r="H22" s="135"/>
      <c r="I22" s="234">
        <v>7</v>
      </c>
      <c r="J22" s="135"/>
      <c r="K22" s="135"/>
      <c r="L22" s="135"/>
      <c r="M22" s="205">
        <f>Ånoter!M80</f>
        <v>91770</v>
      </c>
      <c r="N22" s="135"/>
      <c r="O22" s="205">
        <f>Ånoter!O80</f>
        <v>83901</v>
      </c>
    </row>
    <row r="23" spans="2:15" ht="27" customHeight="1">
      <c r="B23" s="53" t="s">
        <v>292</v>
      </c>
      <c r="C23" s="135"/>
      <c r="D23" s="135"/>
      <c r="E23" s="135"/>
      <c r="F23" s="205"/>
      <c r="G23" s="135"/>
      <c r="H23" s="135"/>
      <c r="I23" s="234"/>
      <c r="J23" s="135"/>
      <c r="K23" s="135"/>
      <c r="L23" s="135"/>
      <c r="M23" s="226">
        <f>M20-M22</f>
        <v>788134</v>
      </c>
      <c r="N23" s="211"/>
      <c r="O23" s="226">
        <f>O20-O22</f>
        <v>664110</v>
      </c>
    </row>
    <row r="24" spans="2:15" ht="16.5" customHeight="1">
      <c r="B24" s="53"/>
      <c r="C24" s="135"/>
      <c r="D24" s="135"/>
      <c r="E24" s="135"/>
      <c r="F24" s="205"/>
      <c r="G24" s="135"/>
      <c r="H24" s="135"/>
      <c r="I24" s="234"/>
      <c r="J24" s="135"/>
      <c r="K24" s="135"/>
      <c r="L24" s="135"/>
      <c r="M24" s="135"/>
      <c r="N24" s="135"/>
      <c r="O24" s="135"/>
    </row>
    <row r="25" spans="2:15" ht="16.5" customHeight="1">
      <c r="B25" s="135" t="s">
        <v>182</v>
      </c>
      <c r="C25" s="135"/>
      <c r="D25" s="135"/>
      <c r="E25" s="205"/>
      <c r="F25" s="135"/>
      <c r="G25" s="135"/>
      <c r="H25" s="135"/>
      <c r="I25" s="234">
        <v>8</v>
      </c>
      <c r="J25" s="135"/>
      <c r="K25" s="135"/>
      <c r="L25" s="135"/>
      <c r="M25" s="205">
        <f>Ånoter!M93</f>
        <v>11814</v>
      </c>
      <c r="N25" s="135"/>
      <c r="O25" s="205">
        <f>Ånoter!O93</f>
        <v>11210</v>
      </c>
    </row>
    <row r="26" spans="2:15" ht="16.5" customHeight="1">
      <c r="B26" s="135" t="s">
        <v>185</v>
      </c>
      <c r="C26" s="135"/>
      <c r="D26" s="135"/>
      <c r="E26" s="205"/>
      <c r="F26" s="135"/>
      <c r="G26" s="135"/>
      <c r="H26" s="135"/>
      <c r="I26" s="234">
        <v>9</v>
      </c>
      <c r="J26" s="135"/>
      <c r="K26" s="135"/>
      <c r="L26" s="135"/>
      <c r="M26" s="205">
        <f>Ånoter!M101</f>
        <v>96806</v>
      </c>
      <c r="N26" s="135"/>
      <c r="O26" s="205">
        <f>Ånoter!O101</f>
        <v>95020</v>
      </c>
    </row>
    <row r="27" spans="2:15" ht="27" customHeight="1" thickBot="1">
      <c r="B27" s="53" t="s">
        <v>293</v>
      </c>
      <c r="C27" s="135"/>
      <c r="D27" s="135"/>
      <c r="E27" s="205"/>
      <c r="F27" s="135"/>
      <c r="G27" s="135"/>
      <c r="H27" s="135"/>
      <c r="I27" s="234"/>
      <c r="J27" s="135"/>
      <c r="K27" s="135"/>
      <c r="L27" s="135"/>
      <c r="M27" s="225">
        <f>M23+M25-M26</f>
        <v>703142</v>
      </c>
      <c r="N27" s="135"/>
      <c r="O27" s="225">
        <f>O23+O25-O26</f>
        <v>580300</v>
      </c>
    </row>
    <row r="28" spans="2:15" ht="27" customHeight="1" hidden="1" thickTop="1">
      <c r="B28" s="211" t="s">
        <v>463</v>
      </c>
      <c r="C28" s="135"/>
      <c r="D28" s="135"/>
      <c r="E28" s="135"/>
      <c r="F28" s="135"/>
      <c r="G28" s="135"/>
      <c r="H28" s="135"/>
      <c r="I28" s="234"/>
      <c r="J28" s="135"/>
      <c r="K28" s="135"/>
      <c r="L28" s="135"/>
      <c r="M28" s="445">
        <f>M27</f>
        <v>703142</v>
      </c>
      <c r="N28" s="135"/>
      <c r="O28" s="445">
        <f>O27</f>
        <v>580300</v>
      </c>
    </row>
    <row r="29" spans="2:15" ht="16.5" customHeight="1" hidden="1">
      <c r="B29" s="135"/>
      <c r="C29" s="135"/>
      <c r="D29" s="135"/>
      <c r="E29" s="135"/>
      <c r="F29" s="135"/>
      <c r="G29" s="135"/>
      <c r="H29" s="135"/>
      <c r="I29" s="234"/>
      <c r="J29" s="135"/>
      <c r="K29" s="135"/>
      <c r="L29" s="135"/>
      <c r="M29" s="135"/>
      <c r="N29" s="135"/>
      <c r="O29" s="135"/>
    </row>
    <row r="30" spans="2:15" ht="16.5" customHeight="1" hidden="1">
      <c r="B30" s="130" t="s">
        <v>265</v>
      </c>
      <c r="C30" s="135"/>
      <c r="D30" s="135"/>
      <c r="E30" s="135"/>
      <c r="F30" s="135"/>
      <c r="G30" s="135"/>
      <c r="H30" s="135"/>
      <c r="I30" s="234"/>
      <c r="J30" s="135"/>
      <c r="K30" s="135"/>
      <c r="L30" s="135"/>
      <c r="M30" s="205">
        <f>Saldobalance_Input!C90-Saldobalance_Input!D90</f>
        <v>0</v>
      </c>
      <c r="N30" s="135"/>
      <c r="O30" s="205">
        <f>Saldobalance_Input!F90-Saldobalance_Input!G90</f>
        <v>0</v>
      </c>
    </row>
    <row r="31" spans="2:15" ht="27" customHeight="1" hidden="1" thickBot="1">
      <c r="B31" s="211" t="s">
        <v>293</v>
      </c>
      <c r="C31" s="135"/>
      <c r="D31" s="135"/>
      <c r="E31" s="135"/>
      <c r="F31" s="135"/>
      <c r="G31" s="135"/>
      <c r="H31" s="135"/>
      <c r="I31" s="234"/>
      <c r="J31" s="135"/>
      <c r="K31" s="135"/>
      <c r="L31" s="135"/>
      <c r="M31" s="225">
        <f>M28-M30</f>
        <v>703142</v>
      </c>
      <c r="N31" s="135"/>
      <c r="O31" s="225">
        <f>O28-O30</f>
        <v>580300</v>
      </c>
    </row>
    <row r="32" spans="2:15" ht="16.5" customHeight="1" thickTop="1">
      <c r="B32" s="135"/>
      <c r="C32" s="135"/>
      <c r="D32" s="135"/>
      <c r="E32" s="135"/>
      <c r="F32" s="135"/>
      <c r="G32" s="135"/>
      <c r="H32" s="135"/>
      <c r="I32" s="234"/>
      <c r="J32" s="135"/>
      <c r="K32" s="135"/>
      <c r="L32" s="135"/>
      <c r="M32" s="135"/>
      <c r="N32" s="135"/>
      <c r="O32" s="135"/>
    </row>
    <row r="33" spans="2:15" ht="16.5" customHeight="1">
      <c r="B33" s="135"/>
      <c r="C33" s="135"/>
      <c r="D33" s="135"/>
      <c r="E33" s="135"/>
      <c r="F33" s="135"/>
      <c r="G33" s="135"/>
      <c r="H33" s="135"/>
      <c r="I33" s="234"/>
      <c r="J33" s="135"/>
      <c r="K33" s="135"/>
      <c r="L33" s="135"/>
      <c r="M33" s="135"/>
      <c r="N33" s="135"/>
      <c r="O33" s="135"/>
    </row>
    <row r="34" spans="2:15" ht="16.5" customHeight="1">
      <c r="B34" s="135"/>
      <c r="C34" s="135"/>
      <c r="D34" s="135"/>
      <c r="E34" s="135"/>
      <c r="F34" s="135"/>
      <c r="G34" s="135"/>
      <c r="H34" s="135"/>
      <c r="I34" s="234"/>
      <c r="J34" s="135"/>
      <c r="K34" s="135"/>
      <c r="L34" s="135"/>
      <c r="M34" s="135"/>
      <c r="N34" s="135"/>
      <c r="O34" s="135"/>
    </row>
    <row r="35" spans="2:15" ht="16.5" customHeight="1">
      <c r="B35" s="135"/>
      <c r="C35" s="135"/>
      <c r="D35" s="135"/>
      <c r="E35" s="135"/>
      <c r="F35" s="135"/>
      <c r="G35" s="135"/>
      <c r="H35" s="135"/>
      <c r="I35" s="234"/>
      <c r="J35" s="135"/>
      <c r="K35" s="135"/>
      <c r="L35" s="135"/>
      <c r="M35" s="135"/>
      <c r="N35" s="135"/>
      <c r="O35" s="135"/>
    </row>
    <row r="36" spans="2:15" ht="12.75" customHeight="1">
      <c r="B36" s="434">
        <f>sideregn+1</f>
        <v>8</v>
      </c>
      <c r="C36" s="434"/>
      <c r="D36" s="434"/>
      <c r="E36" s="434"/>
      <c r="F36" s="434"/>
      <c r="G36" s="434"/>
      <c r="H36" s="434"/>
      <c r="I36" s="434"/>
      <c r="J36" s="434"/>
      <c r="K36" s="434"/>
      <c r="L36" s="434"/>
      <c r="M36" s="434"/>
      <c r="N36" s="434"/>
      <c r="O36" s="434"/>
    </row>
    <row r="37" spans="2:15" ht="12.75" customHeight="1">
      <c r="B37" s="161"/>
      <c r="C37" s="161"/>
      <c r="D37" s="161"/>
      <c r="E37" s="161"/>
      <c r="F37" s="161"/>
      <c r="G37" s="161"/>
      <c r="H37" s="161"/>
      <c r="I37" s="233"/>
      <c r="J37" s="161"/>
      <c r="K37" s="161"/>
      <c r="L37" s="161"/>
      <c r="M37" s="161"/>
      <c r="N37" s="161"/>
      <c r="O37" s="161"/>
    </row>
    <row r="38" spans="2:15" ht="12.75" customHeight="1">
      <c r="B38" s="161"/>
      <c r="C38" s="161"/>
      <c r="D38" s="161"/>
      <c r="E38" s="161"/>
      <c r="F38" s="161"/>
      <c r="G38" s="161"/>
      <c r="H38" s="161"/>
      <c r="I38" s="233"/>
      <c r="J38" s="161"/>
      <c r="K38" s="161"/>
      <c r="L38" s="161"/>
      <c r="M38" s="161"/>
      <c r="N38" s="161"/>
      <c r="O38" s="161"/>
    </row>
    <row r="39" spans="2:15" ht="39" customHeight="1">
      <c r="B39" s="206" t="str">
        <f>"BALANCE PR. "&amp;ultimodato</f>
        <v>BALANCE PR. 31/12 2004</v>
      </c>
      <c r="C39" s="161"/>
      <c r="D39" s="161"/>
      <c r="E39" s="161"/>
      <c r="F39" s="161"/>
      <c r="G39" s="161"/>
      <c r="H39" s="161"/>
      <c r="I39" s="233"/>
      <c r="J39" s="161"/>
      <c r="K39" s="161"/>
      <c r="L39" s="161"/>
      <c r="M39" s="161"/>
      <c r="N39" s="161"/>
      <c r="O39" s="161"/>
    </row>
    <row r="40" spans="2:15" ht="12.75" customHeight="1">
      <c r="B40" s="135"/>
      <c r="C40" s="135"/>
      <c r="D40" s="135"/>
      <c r="E40" s="135"/>
      <c r="F40" s="135"/>
      <c r="G40" s="135"/>
      <c r="H40" s="135"/>
      <c r="I40" s="234"/>
      <c r="J40" s="135"/>
      <c r="K40" s="135"/>
      <c r="L40" s="135"/>
      <c r="M40" s="135"/>
      <c r="N40" s="135"/>
      <c r="O40" s="135"/>
    </row>
    <row r="41" spans="2:15" ht="12.75" customHeight="1">
      <c r="B41" s="135"/>
      <c r="C41" s="135"/>
      <c r="D41" s="135"/>
      <c r="E41" s="135"/>
      <c r="F41" s="135"/>
      <c r="G41" s="135"/>
      <c r="H41" s="135"/>
      <c r="I41" s="234"/>
      <c r="J41" s="135"/>
      <c r="K41" s="135"/>
      <c r="L41" s="135"/>
      <c r="M41" s="135"/>
      <c r="N41" s="135"/>
      <c r="O41" s="135"/>
    </row>
    <row r="42" spans="2:15" ht="12.75" customHeight="1">
      <c r="B42" s="135"/>
      <c r="C42" s="135"/>
      <c r="D42" s="135"/>
      <c r="E42" s="135"/>
      <c r="F42" s="135"/>
      <c r="G42" s="135"/>
      <c r="H42" s="135"/>
      <c r="I42" s="234"/>
      <c r="J42" s="135"/>
      <c r="K42" s="135"/>
      <c r="L42" s="135"/>
      <c r="M42" s="135"/>
      <c r="N42" s="135"/>
      <c r="O42" s="135"/>
    </row>
    <row r="43" spans="2:15" ht="12.75" customHeight="1">
      <c r="B43" s="53" t="s">
        <v>191</v>
      </c>
      <c r="C43" s="135"/>
      <c r="D43" s="135"/>
      <c r="E43" s="135"/>
      <c r="F43" s="135"/>
      <c r="G43" s="135"/>
      <c r="H43" s="135"/>
      <c r="I43" s="234"/>
      <c r="J43" s="135"/>
      <c r="K43" s="135"/>
      <c r="L43" s="135"/>
      <c r="M43" s="236">
        <f>raa1</f>
        <v>2004</v>
      </c>
      <c r="N43" s="236"/>
      <c r="O43" s="236">
        <f>raa0</f>
        <v>2003</v>
      </c>
    </row>
    <row r="44" spans="2:15" ht="27" customHeight="1">
      <c r="B44" s="208" t="s">
        <v>306</v>
      </c>
      <c r="C44" s="135"/>
      <c r="D44" s="135"/>
      <c r="E44" s="135"/>
      <c r="F44" s="135"/>
      <c r="G44" s="135"/>
      <c r="H44" s="135"/>
      <c r="I44" s="234"/>
      <c r="J44" s="135"/>
      <c r="K44" s="135"/>
      <c r="L44" s="135"/>
      <c r="M44" s="205">
        <f>Ånoter!I117</f>
        <v>0</v>
      </c>
      <c r="N44" s="135"/>
      <c r="O44" s="205">
        <f>Ånoter!I106-Ånoter!I112</f>
        <v>0</v>
      </c>
    </row>
    <row r="45" spans="2:15" ht="16.5" customHeight="1">
      <c r="B45" s="135" t="s">
        <v>294</v>
      </c>
      <c r="C45" s="135"/>
      <c r="D45" s="135"/>
      <c r="E45" s="205"/>
      <c r="F45" s="135"/>
      <c r="G45" s="135"/>
      <c r="H45" s="135"/>
      <c r="I45" s="234"/>
      <c r="J45" s="135"/>
      <c r="K45" s="135"/>
      <c r="L45" s="135"/>
      <c r="M45" s="205">
        <f>Ånoter!K117</f>
        <v>920000</v>
      </c>
      <c r="N45" s="135"/>
      <c r="O45" s="205">
        <f>Ånoter!K106-Ånoter!K112</f>
        <v>960000</v>
      </c>
    </row>
    <row r="46" spans="2:15" ht="16.5" customHeight="1">
      <c r="B46" s="135" t="s">
        <v>179</v>
      </c>
      <c r="C46" s="135"/>
      <c r="D46" s="135"/>
      <c r="E46" s="205"/>
      <c r="F46" s="135"/>
      <c r="G46" s="135"/>
      <c r="H46" s="135"/>
      <c r="I46" s="234"/>
      <c r="J46" s="135"/>
      <c r="K46" s="135"/>
      <c r="L46" s="135"/>
      <c r="M46" s="205">
        <f>Ånoter!M117</f>
        <v>52300</v>
      </c>
      <c r="N46" s="135"/>
      <c r="O46" s="205">
        <f>Ånoter!M106-Ånoter!M112</f>
        <v>78450</v>
      </c>
    </row>
    <row r="47" spans="2:15" ht="16.5" customHeight="1">
      <c r="B47" s="135" t="s">
        <v>268</v>
      </c>
      <c r="C47" s="135"/>
      <c r="D47" s="135"/>
      <c r="E47" s="205"/>
      <c r="F47" s="135"/>
      <c r="G47" s="135"/>
      <c r="H47" s="135"/>
      <c r="I47" s="234"/>
      <c r="J47" s="135"/>
      <c r="K47" s="135"/>
      <c r="L47" s="135"/>
      <c r="M47" s="205">
        <f>Ånoter!O117</f>
        <v>87935</v>
      </c>
      <c r="N47" s="135"/>
      <c r="O47" s="205">
        <f>Ånoter!O106-Ånoter!O112</f>
        <v>53251</v>
      </c>
    </row>
    <row r="48" spans="2:15" ht="27" customHeight="1">
      <c r="B48" s="53" t="s">
        <v>295</v>
      </c>
      <c r="C48" s="135"/>
      <c r="D48" s="135"/>
      <c r="E48" s="205"/>
      <c r="F48" s="135"/>
      <c r="G48" s="135"/>
      <c r="H48" s="135"/>
      <c r="I48" s="234">
        <v>10</v>
      </c>
      <c r="J48" s="135"/>
      <c r="K48" s="135"/>
      <c r="L48" s="135"/>
      <c r="M48" s="226">
        <f>SUM(M44:M47)</f>
        <v>1060235</v>
      </c>
      <c r="N48" s="211"/>
      <c r="O48" s="226">
        <f>SUM(O44:O47)</f>
        <v>1091701</v>
      </c>
    </row>
    <row r="49" spans="2:15" ht="16.5" customHeight="1">
      <c r="B49" s="53"/>
      <c r="C49" s="135"/>
      <c r="D49" s="135"/>
      <c r="E49" s="205"/>
      <c r="F49" s="135"/>
      <c r="G49" s="135"/>
      <c r="H49" s="135"/>
      <c r="I49" s="234"/>
      <c r="J49" s="135"/>
      <c r="K49" s="135"/>
      <c r="L49" s="135"/>
      <c r="M49" s="135"/>
      <c r="N49" s="135"/>
      <c r="O49" s="135"/>
    </row>
    <row r="50" spans="2:15" ht="16.5" customHeight="1">
      <c r="B50" s="135" t="s">
        <v>72</v>
      </c>
      <c r="C50" s="135"/>
      <c r="D50" s="135"/>
      <c r="E50" s="205"/>
      <c r="F50" s="135"/>
      <c r="G50" s="135"/>
      <c r="H50" s="135"/>
      <c r="I50" s="234"/>
      <c r="J50" s="135"/>
      <c r="K50" s="135"/>
      <c r="L50" s="135"/>
      <c r="M50" s="205">
        <f>Saldobalance_Input!C129</f>
        <v>377264</v>
      </c>
      <c r="N50" s="135"/>
      <c r="O50" s="205">
        <f>Saldobalance_Input!F129</f>
        <v>83728</v>
      </c>
    </row>
    <row r="51" spans="2:15" ht="16.5" customHeight="1">
      <c r="B51" s="135" t="s">
        <v>195</v>
      </c>
      <c r="C51" s="135"/>
      <c r="D51" s="135"/>
      <c r="E51" s="205"/>
      <c r="F51" s="135"/>
      <c r="G51" s="135"/>
      <c r="H51" s="135"/>
      <c r="I51" s="234">
        <v>11</v>
      </c>
      <c r="J51" s="135"/>
      <c r="K51" s="135"/>
      <c r="L51" s="135"/>
      <c r="M51" s="205">
        <f>Ånoter!M132</f>
        <v>263462</v>
      </c>
      <c r="N51" s="135"/>
      <c r="O51" s="205">
        <f>Ånoter!O132</f>
        <v>194272</v>
      </c>
    </row>
    <row r="52" spans="2:15" ht="16.5" customHeight="1">
      <c r="B52" s="135" t="s">
        <v>75</v>
      </c>
      <c r="C52" s="135"/>
      <c r="D52" s="135"/>
      <c r="E52" s="205"/>
      <c r="F52" s="135"/>
      <c r="G52" s="135"/>
      <c r="H52" s="135"/>
      <c r="I52" s="234"/>
      <c r="J52" s="135"/>
      <c r="K52" s="135"/>
      <c r="L52" s="135"/>
      <c r="M52" s="205">
        <f>Saldobalance_Input!C132</f>
        <v>36428</v>
      </c>
      <c r="N52" s="135"/>
      <c r="O52" s="205">
        <f>Saldobalance_Input!F132</f>
        <v>4034</v>
      </c>
    </row>
    <row r="53" spans="2:15" ht="16.5" customHeight="1">
      <c r="B53" s="135" t="s">
        <v>276</v>
      </c>
      <c r="C53" s="135"/>
      <c r="D53" s="135"/>
      <c r="E53" s="205"/>
      <c r="F53" s="135"/>
      <c r="G53" s="135"/>
      <c r="H53" s="135"/>
      <c r="I53" s="234"/>
      <c r="J53" s="135"/>
      <c r="K53" s="135"/>
      <c r="L53" s="135"/>
      <c r="M53" s="205">
        <f>Saldobalance_Input!C133</f>
        <v>51775</v>
      </c>
      <c r="N53" s="135"/>
      <c r="O53" s="205">
        <f>Saldobalance_Input!F133</f>
        <v>0</v>
      </c>
    </row>
    <row r="54" spans="2:15" ht="16.5" customHeight="1" hidden="1">
      <c r="B54" s="130" t="s">
        <v>458</v>
      </c>
      <c r="C54" s="135"/>
      <c r="D54" s="135"/>
      <c r="E54" s="205"/>
      <c r="F54" s="135"/>
      <c r="G54" s="135"/>
      <c r="H54" s="135"/>
      <c r="I54" s="234"/>
      <c r="J54" s="135"/>
      <c r="K54" s="135"/>
      <c r="L54" s="135"/>
      <c r="M54" s="205">
        <f>Saldobalance_Input!C135</f>
        <v>0</v>
      </c>
      <c r="N54" s="135"/>
      <c r="O54" s="205">
        <f>Saldobalance_Input!F135</f>
        <v>0</v>
      </c>
    </row>
    <row r="55" spans="2:15" ht="16.5" customHeight="1">
      <c r="B55" s="135" t="s">
        <v>78</v>
      </c>
      <c r="C55" s="135"/>
      <c r="D55" s="135"/>
      <c r="E55" s="205"/>
      <c r="F55" s="135"/>
      <c r="G55" s="135"/>
      <c r="H55" s="135"/>
      <c r="I55" s="234"/>
      <c r="J55" s="135"/>
      <c r="K55" s="135"/>
      <c r="L55" s="135"/>
      <c r="M55" s="205">
        <f>SUM(Saldobalance_Input!C137:C140)</f>
        <v>196077</v>
      </c>
      <c r="N55" s="135"/>
      <c r="O55" s="205">
        <f>SUM(Saldobalance_Input!F137:F140)</f>
        <v>210154.99999999997</v>
      </c>
    </row>
    <row r="56" spans="2:15" ht="27" customHeight="1">
      <c r="B56" s="53" t="s">
        <v>296</v>
      </c>
      <c r="C56" s="135"/>
      <c r="D56" s="135"/>
      <c r="E56" s="205"/>
      <c r="F56" s="135"/>
      <c r="G56" s="135"/>
      <c r="H56" s="135"/>
      <c r="I56" s="234"/>
      <c r="J56" s="135"/>
      <c r="K56" s="135"/>
      <c r="L56" s="135"/>
      <c r="M56" s="226">
        <f>SUM(M50:M55)</f>
        <v>925006</v>
      </c>
      <c r="N56" s="135"/>
      <c r="O56" s="226">
        <f>SUM(O50:O55)</f>
        <v>492189</v>
      </c>
    </row>
    <row r="57" spans="2:15" ht="16.5" customHeight="1">
      <c r="B57" s="53"/>
      <c r="C57" s="135"/>
      <c r="D57" s="135"/>
      <c r="E57" s="205"/>
      <c r="F57" s="135"/>
      <c r="G57" s="135"/>
      <c r="H57" s="135"/>
      <c r="I57" s="234"/>
      <c r="J57" s="135"/>
      <c r="K57" s="135"/>
      <c r="L57" s="135"/>
      <c r="M57" s="135"/>
      <c r="N57" s="135"/>
      <c r="O57" s="135"/>
    </row>
    <row r="58" spans="2:15" ht="27" customHeight="1" thickBot="1">
      <c r="B58" s="53" t="s">
        <v>191</v>
      </c>
      <c r="C58" s="135"/>
      <c r="D58" s="205"/>
      <c r="E58" s="135"/>
      <c r="F58" s="205"/>
      <c r="G58" s="135"/>
      <c r="H58" s="135"/>
      <c r="I58" s="234"/>
      <c r="J58" s="135"/>
      <c r="K58" s="135"/>
      <c r="L58" s="135"/>
      <c r="M58" s="227">
        <f>M48+M56</f>
        <v>1985241</v>
      </c>
      <c r="N58" s="135"/>
      <c r="O58" s="227">
        <f>O48+O56</f>
        <v>1583890</v>
      </c>
    </row>
    <row r="59" spans="2:15" ht="16.5" customHeight="1" thickTop="1">
      <c r="B59" s="135"/>
      <c r="C59" s="135"/>
      <c r="D59" s="135"/>
      <c r="E59" s="135"/>
      <c r="F59" s="135"/>
      <c r="G59" s="135"/>
      <c r="H59" s="135"/>
      <c r="I59" s="234"/>
      <c r="J59" s="135"/>
      <c r="K59" s="135"/>
      <c r="L59" s="135"/>
      <c r="M59" s="135"/>
      <c r="N59" s="135"/>
      <c r="O59" s="135"/>
    </row>
    <row r="60" spans="2:15" ht="16.5" customHeight="1">
      <c r="B60" s="135"/>
      <c r="C60" s="135"/>
      <c r="D60" s="135"/>
      <c r="E60" s="135"/>
      <c r="F60" s="135"/>
      <c r="G60" s="135"/>
      <c r="H60" s="135"/>
      <c r="I60" s="234"/>
      <c r="J60" s="135"/>
      <c r="K60" s="135"/>
      <c r="L60" s="135"/>
      <c r="M60" s="135"/>
      <c r="N60" s="135"/>
      <c r="O60" s="135"/>
    </row>
    <row r="61" spans="2:15" ht="12.75" customHeight="1">
      <c r="B61" s="435">
        <f>sideregn+2</f>
        <v>9</v>
      </c>
      <c r="C61" s="435"/>
      <c r="D61" s="435"/>
      <c r="E61" s="435"/>
      <c r="F61" s="435"/>
      <c r="G61" s="435"/>
      <c r="H61" s="435"/>
      <c r="I61" s="435"/>
      <c r="J61" s="435"/>
      <c r="K61" s="435"/>
      <c r="L61" s="435"/>
      <c r="M61" s="435"/>
      <c r="N61" s="435"/>
      <c r="O61" s="435"/>
    </row>
    <row r="62" spans="2:15" ht="12.75" customHeight="1">
      <c r="B62" s="135"/>
      <c r="C62" s="135"/>
      <c r="D62" s="135"/>
      <c r="E62" s="135"/>
      <c r="F62" s="135"/>
      <c r="G62" s="135"/>
      <c r="H62" s="135"/>
      <c r="I62" s="234"/>
      <c r="J62" s="135"/>
      <c r="K62" s="135"/>
      <c r="L62" s="135"/>
      <c r="M62" s="135"/>
      <c r="N62" s="135"/>
      <c r="O62" s="135"/>
    </row>
    <row r="63" spans="2:15" ht="12.75" customHeight="1">
      <c r="B63" s="135"/>
      <c r="C63" s="135"/>
      <c r="D63" s="135"/>
      <c r="E63" s="135"/>
      <c r="F63" s="135"/>
      <c r="G63" s="135"/>
      <c r="H63" s="135"/>
      <c r="I63" s="234"/>
      <c r="J63" s="135"/>
      <c r="K63" s="135"/>
      <c r="L63" s="135"/>
      <c r="M63" s="135"/>
      <c r="N63" s="135"/>
      <c r="O63" s="135"/>
    </row>
    <row r="64" spans="2:15" ht="39" customHeight="1">
      <c r="B64" s="136" t="str">
        <f>"BALANCE PR. "&amp;ultimodato</f>
        <v>BALANCE PR. 31/12 2004</v>
      </c>
      <c r="C64" s="135"/>
      <c r="D64" s="135"/>
      <c r="E64" s="135"/>
      <c r="F64" s="135"/>
      <c r="G64" s="135"/>
      <c r="H64" s="135"/>
      <c r="I64" s="234"/>
      <c r="J64" s="135"/>
      <c r="K64" s="135"/>
      <c r="L64" s="135"/>
      <c r="M64" s="135"/>
      <c r="N64" s="135"/>
      <c r="O64" s="135"/>
    </row>
    <row r="65" spans="2:15" ht="12.75" customHeight="1">
      <c r="B65" s="135"/>
      <c r="C65" s="135"/>
      <c r="D65" s="135"/>
      <c r="E65" s="135"/>
      <c r="F65" s="135"/>
      <c r="G65" s="135"/>
      <c r="H65" s="135"/>
      <c r="I65" s="234"/>
      <c r="J65" s="135"/>
      <c r="K65" s="135"/>
      <c r="L65" s="135"/>
      <c r="M65" s="135"/>
      <c r="N65" s="135"/>
      <c r="O65" s="135"/>
    </row>
    <row r="66" spans="2:15" ht="12.75" customHeight="1">
      <c r="B66" s="135"/>
      <c r="C66" s="135"/>
      <c r="D66" s="135"/>
      <c r="E66" s="135"/>
      <c r="F66" s="135"/>
      <c r="G66" s="135"/>
      <c r="H66" s="135"/>
      <c r="I66" s="234"/>
      <c r="J66" s="135"/>
      <c r="K66" s="135"/>
      <c r="L66" s="135"/>
      <c r="M66" s="135"/>
      <c r="N66" s="135"/>
      <c r="O66" s="135"/>
    </row>
    <row r="67" spans="2:15" ht="12.75" customHeight="1">
      <c r="B67" s="135"/>
      <c r="C67" s="135"/>
      <c r="D67" s="135"/>
      <c r="E67" s="135"/>
      <c r="F67" s="135"/>
      <c r="G67" s="135"/>
      <c r="H67" s="135"/>
      <c r="I67" s="234"/>
      <c r="J67" s="135"/>
      <c r="K67" s="135"/>
      <c r="L67" s="135"/>
      <c r="M67" s="135"/>
      <c r="N67" s="135"/>
      <c r="O67" s="135"/>
    </row>
    <row r="68" spans="2:15" ht="12.75" customHeight="1">
      <c r="B68" s="53" t="s">
        <v>297</v>
      </c>
      <c r="C68" s="135"/>
      <c r="D68" s="135"/>
      <c r="E68" s="135"/>
      <c r="F68" s="135"/>
      <c r="G68" s="135"/>
      <c r="H68" s="135"/>
      <c r="I68" s="234"/>
      <c r="J68" s="135"/>
      <c r="K68" s="135"/>
      <c r="L68" s="135"/>
      <c r="M68" s="236">
        <f>raa1</f>
        <v>2004</v>
      </c>
      <c r="N68" s="236"/>
      <c r="O68" s="236">
        <f>raa0</f>
        <v>2003</v>
      </c>
    </row>
    <row r="69" spans="2:15" ht="27" customHeight="1">
      <c r="B69" s="53" t="s">
        <v>298</v>
      </c>
      <c r="C69" s="135"/>
      <c r="D69" s="135"/>
      <c r="E69" s="205"/>
      <c r="F69" s="135"/>
      <c r="G69" s="135"/>
      <c r="H69" s="135"/>
      <c r="I69" s="234">
        <v>12</v>
      </c>
      <c r="J69" s="135"/>
      <c r="K69" s="135"/>
      <c r="L69" s="135"/>
      <c r="M69" s="237">
        <f>Ånoter!M140</f>
        <v>674888</v>
      </c>
      <c r="N69" s="135"/>
      <c r="O69" s="237">
        <f>Ånoter!O140</f>
        <v>167992</v>
      </c>
    </row>
    <row r="70" spans="2:15" ht="16.5" customHeight="1">
      <c r="B70" s="53"/>
      <c r="C70" s="135"/>
      <c r="D70" s="135"/>
      <c r="E70" s="205"/>
      <c r="F70" s="135"/>
      <c r="G70" s="135"/>
      <c r="H70" s="135"/>
      <c r="I70" s="234"/>
      <c r="J70" s="135"/>
      <c r="K70" s="135"/>
      <c r="L70" s="135"/>
      <c r="M70" s="237"/>
      <c r="N70" s="135"/>
      <c r="O70" s="237"/>
    </row>
    <row r="71" spans="2:15" ht="16.5" customHeight="1" hidden="1">
      <c r="B71" s="208" t="s">
        <v>464</v>
      </c>
      <c r="C71" s="135"/>
      <c r="D71" s="135"/>
      <c r="E71" s="205"/>
      <c r="F71" s="135"/>
      <c r="G71" s="135"/>
      <c r="H71" s="135"/>
      <c r="I71" s="234"/>
      <c r="J71" s="135"/>
      <c r="K71" s="135"/>
      <c r="L71" s="135"/>
      <c r="M71" s="444">
        <f>Saldobalance_Input!D156</f>
        <v>0</v>
      </c>
      <c r="N71" s="135"/>
      <c r="O71" s="444">
        <f>Saldobalance_Input!G156</f>
        <v>0</v>
      </c>
    </row>
    <row r="72" spans="2:15" ht="27" customHeight="1" hidden="1">
      <c r="B72" s="207" t="s">
        <v>465</v>
      </c>
      <c r="C72" s="135"/>
      <c r="D72" s="135"/>
      <c r="E72" s="205"/>
      <c r="F72" s="135"/>
      <c r="G72" s="135"/>
      <c r="H72" s="135"/>
      <c r="I72" s="234"/>
      <c r="J72" s="135"/>
      <c r="K72" s="135"/>
      <c r="L72" s="135"/>
      <c r="M72" s="226">
        <f>M71</f>
        <v>0</v>
      </c>
      <c r="N72" s="135"/>
      <c r="O72" s="226">
        <f>O71</f>
        <v>0</v>
      </c>
    </row>
    <row r="73" spans="2:15" ht="16.5" customHeight="1" hidden="1">
      <c r="B73" s="53"/>
      <c r="C73" s="135"/>
      <c r="D73" s="135"/>
      <c r="E73" s="205"/>
      <c r="F73" s="135"/>
      <c r="G73" s="135"/>
      <c r="H73" s="135"/>
      <c r="I73" s="234"/>
      <c r="J73" s="135"/>
      <c r="K73" s="135"/>
      <c r="L73" s="135"/>
      <c r="M73" s="135"/>
      <c r="N73" s="135"/>
      <c r="O73" s="135"/>
    </row>
    <row r="74" spans="2:15" ht="16.5" customHeight="1">
      <c r="B74" s="135" t="s">
        <v>299</v>
      </c>
      <c r="C74" s="135"/>
      <c r="D74" s="135"/>
      <c r="E74" s="135"/>
      <c r="F74" s="205"/>
      <c r="G74" s="135"/>
      <c r="H74" s="135"/>
      <c r="I74" s="234">
        <v>13</v>
      </c>
      <c r="J74" s="135"/>
      <c r="K74" s="135"/>
      <c r="L74" s="135"/>
      <c r="M74" s="205">
        <f>Ånoter!M149</f>
        <v>831429</v>
      </c>
      <c r="N74" s="135"/>
      <c r="O74" s="205">
        <f>Ånoter!O149</f>
        <v>893667.6</v>
      </c>
    </row>
    <row r="75" spans="2:15" ht="16.5" customHeight="1">
      <c r="B75" s="135" t="s">
        <v>300</v>
      </c>
      <c r="C75" s="135"/>
      <c r="D75" s="135"/>
      <c r="E75" s="135"/>
      <c r="F75" s="205"/>
      <c r="G75" s="135"/>
      <c r="H75" s="135"/>
      <c r="I75" s="234"/>
      <c r="J75" s="135"/>
      <c r="K75" s="135"/>
      <c r="L75" s="135"/>
      <c r="M75" s="135"/>
      <c r="N75" s="135"/>
      <c r="O75" s="135"/>
    </row>
    <row r="76" spans="2:15" ht="16.5" customHeight="1">
      <c r="B76" s="135" t="s">
        <v>205</v>
      </c>
      <c r="C76" s="135"/>
      <c r="D76" s="135"/>
      <c r="E76" s="135"/>
      <c r="F76" s="205"/>
      <c r="G76" s="135"/>
      <c r="H76" s="135"/>
      <c r="I76" s="234"/>
      <c r="J76" s="135"/>
      <c r="K76" s="135"/>
      <c r="L76" s="135"/>
      <c r="M76" s="205">
        <f>-Ånoter!M148</f>
        <v>62239</v>
      </c>
      <c r="N76" s="135"/>
      <c r="O76" s="205">
        <f>-Ånoter!O148</f>
        <v>63833.4</v>
      </c>
    </row>
    <row r="77" spans="2:15" ht="16.5" customHeight="1">
      <c r="B77" s="135" t="s">
        <v>208</v>
      </c>
      <c r="C77" s="135"/>
      <c r="D77" s="135"/>
      <c r="E77" s="135"/>
      <c r="F77" s="205"/>
      <c r="G77" s="135"/>
      <c r="H77" s="135"/>
      <c r="I77" s="234"/>
      <c r="J77" s="135"/>
      <c r="K77" s="135"/>
      <c r="L77" s="135"/>
      <c r="M77" s="205">
        <f>Saldobalance_Input!D166</f>
        <v>265583</v>
      </c>
      <c r="N77" s="135"/>
      <c r="O77" s="205">
        <f>Saldobalance_Input!G166</f>
        <v>265287</v>
      </c>
    </row>
    <row r="78" spans="2:15" ht="16.5" customHeight="1">
      <c r="B78" s="130" t="s">
        <v>276</v>
      </c>
      <c r="C78" s="135"/>
      <c r="D78" s="135"/>
      <c r="E78" s="135"/>
      <c r="F78" s="205"/>
      <c r="G78" s="135"/>
      <c r="H78" s="135"/>
      <c r="I78" s="234"/>
      <c r="J78" s="135"/>
      <c r="K78" s="135"/>
      <c r="L78" s="135"/>
      <c r="M78" s="205">
        <f>Saldobalance_Input!D167</f>
        <v>0</v>
      </c>
      <c r="N78" s="135"/>
      <c r="O78" s="205">
        <f>Saldobalance_Input!G167</f>
        <v>0</v>
      </c>
    </row>
    <row r="79" spans="2:15" ht="16.5" customHeight="1">
      <c r="B79" s="135" t="s">
        <v>301</v>
      </c>
      <c r="C79" s="135"/>
      <c r="D79" s="135"/>
      <c r="E79" s="135"/>
      <c r="F79" s="205"/>
      <c r="G79" s="135"/>
      <c r="H79" s="135"/>
      <c r="I79" s="234"/>
      <c r="J79" s="135"/>
      <c r="K79" s="135"/>
      <c r="L79" s="135"/>
      <c r="M79" s="205">
        <f>SUM(Saldobalance_Input!D168:D170)</f>
        <v>0</v>
      </c>
      <c r="N79" s="135"/>
      <c r="O79" s="205">
        <f>SUM(Saldobalance_Input!G168:G170)</f>
        <v>30198</v>
      </c>
    </row>
    <row r="80" spans="2:15" ht="16.5" customHeight="1">
      <c r="B80" s="135" t="s">
        <v>302</v>
      </c>
      <c r="C80" s="135"/>
      <c r="D80" s="135"/>
      <c r="E80" s="135"/>
      <c r="F80" s="205"/>
      <c r="G80" s="135"/>
      <c r="H80" s="135"/>
      <c r="I80" s="234">
        <v>14</v>
      </c>
      <c r="J80" s="135"/>
      <c r="K80" s="135"/>
      <c r="L80" s="135"/>
      <c r="M80" s="205">
        <f>Ånoter!M158</f>
        <v>151102</v>
      </c>
      <c r="N80" s="135"/>
      <c r="O80" s="205">
        <f>Ånoter!O158</f>
        <v>162912</v>
      </c>
    </row>
    <row r="81" spans="2:15" ht="27" customHeight="1">
      <c r="B81" s="53" t="s">
        <v>303</v>
      </c>
      <c r="C81" s="135"/>
      <c r="D81" s="135"/>
      <c r="E81" s="205"/>
      <c r="F81" s="135"/>
      <c r="G81" s="205"/>
      <c r="H81" s="135"/>
      <c r="I81" s="234"/>
      <c r="J81" s="135"/>
      <c r="K81" s="135"/>
      <c r="L81" s="135"/>
      <c r="M81" s="226">
        <f>SUM(M74:M80)</f>
        <v>1310353</v>
      </c>
      <c r="N81" s="135"/>
      <c r="O81" s="226">
        <f>SUM(O74:O80)</f>
        <v>1415898</v>
      </c>
    </row>
    <row r="82" spans="2:15" ht="16.5" customHeight="1">
      <c r="B82" s="53"/>
      <c r="C82" s="135"/>
      <c r="D82" s="135"/>
      <c r="E82" s="205"/>
      <c r="F82" s="135"/>
      <c r="G82" s="205"/>
      <c r="H82" s="135"/>
      <c r="I82" s="234"/>
      <c r="J82" s="135"/>
      <c r="K82" s="135"/>
      <c r="L82" s="135"/>
      <c r="M82" s="135"/>
      <c r="N82" s="135"/>
      <c r="O82" s="135"/>
    </row>
    <row r="83" spans="2:15" ht="16.5" customHeight="1" thickBot="1">
      <c r="B83" s="53" t="s">
        <v>297</v>
      </c>
      <c r="C83" s="135"/>
      <c r="D83" s="205"/>
      <c r="E83" s="135"/>
      <c r="F83" s="205"/>
      <c r="G83" s="135"/>
      <c r="H83" s="135"/>
      <c r="I83" s="234"/>
      <c r="J83" s="135"/>
      <c r="K83" s="135"/>
      <c r="L83" s="135"/>
      <c r="M83" s="227">
        <f>M69+M81+M72</f>
        <v>1985241</v>
      </c>
      <c r="N83" s="135"/>
      <c r="O83" s="227">
        <f>O69+O81+O72</f>
        <v>1583890</v>
      </c>
    </row>
    <row r="84" spans="2:15" ht="16.5" customHeight="1" thickTop="1">
      <c r="B84" s="135"/>
      <c r="C84" s="135"/>
      <c r="D84" s="135"/>
      <c r="E84" s="135"/>
      <c r="F84" s="135"/>
      <c r="G84" s="135"/>
      <c r="H84" s="135"/>
      <c r="I84" s="234"/>
      <c r="J84" s="135"/>
      <c r="K84" s="135"/>
      <c r="L84" s="135"/>
      <c r="M84" s="135"/>
      <c r="N84" s="135"/>
      <c r="O84" s="135"/>
    </row>
    <row r="85" spans="2:15" ht="16.5" customHeight="1">
      <c r="B85" s="135" t="s">
        <v>304</v>
      </c>
      <c r="C85" s="135"/>
      <c r="D85" s="135"/>
      <c r="E85" s="135"/>
      <c r="F85" s="135"/>
      <c r="G85" s="135"/>
      <c r="H85" s="135"/>
      <c r="I85" s="234">
        <v>15</v>
      </c>
      <c r="J85" s="135"/>
      <c r="K85" s="135"/>
      <c r="L85" s="135"/>
      <c r="M85" s="135"/>
      <c r="N85" s="135"/>
      <c r="O85" s="135"/>
    </row>
    <row r="86" spans="2:15" ht="16.5" customHeight="1">
      <c r="B86" s="135" t="s">
        <v>305</v>
      </c>
      <c r="C86" s="135"/>
      <c r="D86" s="135"/>
      <c r="E86" s="135"/>
      <c r="F86" s="135"/>
      <c r="G86" s="135"/>
      <c r="H86" s="135"/>
      <c r="I86" s="234">
        <v>16</v>
      </c>
      <c r="J86" s="135"/>
      <c r="K86" s="135"/>
      <c r="L86" s="135"/>
      <c r="M86" s="135"/>
      <c r="N86" s="135"/>
      <c r="O86" s="135"/>
    </row>
    <row r="87" spans="2:15" ht="16.5" customHeight="1">
      <c r="B87" s="135"/>
      <c r="C87" s="135"/>
      <c r="D87" s="135"/>
      <c r="E87" s="135"/>
      <c r="F87" s="135"/>
      <c r="G87" s="135"/>
      <c r="H87" s="135"/>
      <c r="I87" s="234"/>
      <c r="J87" s="135"/>
      <c r="K87" s="135"/>
      <c r="L87" s="135"/>
      <c r="M87" s="135"/>
      <c r="N87" s="135"/>
      <c r="O87" s="135"/>
    </row>
    <row r="88" spans="2:15" ht="16.5" customHeight="1">
      <c r="B88" s="135"/>
      <c r="C88" s="135"/>
      <c r="D88" s="135"/>
      <c r="E88" s="135"/>
      <c r="F88" s="135"/>
      <c r="G88" s="135"/>
      <c r="H88" s="135"/>
      <c r="I88" s="234"/>
      <c r="J88" s="135"/>
      <c r="K88" s="135"/>
      <c r="L88" s="135"/>
      <c r="M88" s="135"/>
      <c r="N88" s="135"/>
      <c r="O88" s="135"/>
    </row>
    <row r="89" spans="2:15" ht="16.5" customHeight="1">
      <c r="B89" s="135"/>
      <c r="C89" s="135"/>
      <c r="D89" s="135"/>
      <c r="E89" s="135"/>
      <c r="F89" s="135"/>
      <c r="G89" s="135"/>
      <c r="H89" s="135"/>
      <c r="I89" s="234"/>
      <c r="J89" s="135"/>
      <c r="K89" s="135"/>
      <c r="L89" s="135"/>
      <c r="M89" s="135"/>
      <c r="N89" s="135"/>
      <c r="O89" s="135"/>
    </row>
    <row r="90" spans="2:15" ht="16.5" customHeight="1">
      <c r="B90" s="135"/>
      <c r="C90" s="135"/>
      <c r="D90" s="135"/>
      <c r="E90" s="135"/>
      <c r="F90" s="135"/>
      <c r="G90" s="135"/>
      <c r="H90" s="135"/>
      <c r="I90" s="234"/>
      <c r="J90" s="135"/>
      <c r="K90" s="135"/>
      <c r="L90" s="135"/>
      <c r="M90" s="135"/>
      <c r="N90" s="135"/>
      <c r="O90" s="135"/>
    </row>
    <row r="91" spans="2:15" ht="16.5" customHeight="1">
      <c r="B91" s="135"/>
      <c r="C91" s="135"/>
      <c r="D91" s="135"/>
      <c r="E91" s="135"/>
      <c r="F91" s="135"/>
      <c r="G91" s="135"/>
      <c r="H91" s="135"/>
      <c r="I91" s="234"/>
      <c r="J91" s="135"/>
      <c r="K91" s="135"/>
      <c r="L91" s="135"/>
      <c r="M91" s="135"/>
      <c r="N91" s="135"/>
      <c r="O91" s="135"/>
    </row>
    <row r="92" spans="2:15" ht="16.5" customHeight="1">
      <c r="B92" s="135"/>
      <c r="C92" s="135"/>
      <c r="D92" s="135"/>
      <c r="E92" s="135"/>
      <c r="F92" s="135"/>
      <c r="G92" s="135"/>
      <c r="H92" s="135"/>
      <c r="I92" s="234"/>
      <c r="J92" s="135"/>
      <c r="K92" s="135"/>
      <c r="L92" s="135"/>
      <c r="M92" s="135"/>
      <c r="N92" s="135"/>
      <c r="O92" s="135"/>
    </row>
    <row r="93" spans="2:15" ht="16.5" customHeight="1">
      <c r="B93" s="135"/>
      <c r="C93" s="135"/>
      <c r="D93" s="135"/>
      <c r="E93" s="135"/>
      <c r="F93" s="135"/>
      <c r="G93" s="135"/>
      <c r="H93" s="135"/>
      <c r="I93" s="234"/>
      <c r="J93" s="135"/>
      <c r="K93" s="135"/>
      <c r="L93" s="135"/>
      <c r="M93" s="135"/>
      <c r="N93" s="135"/>
      <c r="O93" s="135"/>
    </row>
    <row r="94" spans="2:15" ht="16.5" customHeight="1">
      <c r="B94" s="135"/>
      <c r="C94" s="135"/>
      <c r="D94" s="135"/>
      <c r="E94" s="135"/>
      <c r="F94" s="135"/>
      <c r="G94" s="135"/>
      <c r="H94" s="135"/>
      <c r="I94" s="234"/>
      <c r="J94" s="135"/>
      <c r="K94" s="135"/>
      <c r="L94" s="135"/>
      <c r="M94" s="135"/>
      <c r="N94" s="135"/>
      <c r="O94" s="135"/>
    </row>
    <row r="95" spans="2:15" ht="16.5" customHeight="1">
      <c r="B95" s="135"/>
      <c r="C95" s="135"/>
      <c r="D95" s="135"/>
      <c r="E95" s="135"/>
      <c r="F95" s="135"/>
      <c r="G95" s="135"/>
      <c r="H95" s="135"/>
      <c r="I95" s="234"/>
      <c r="J95" s="135"/>
      <c r="K95" s="135"/>
      <c r="L95" s="135"/>
      <c r="M95" s="135"/>
      <c r="N95" s="135"/>
      <c r="O95" s="135"/>
    </row>
  </sheetData>
  <mergeCells count="3">
    <mergeCell ref="B2:O2"/>
    <mergeCell ref="B36:O36"/>
    <mergeCell ref="B61:O61"/>
  </mergeCells>
  <printOptions/>
  <pageMargins left="0.984251968503937" right="0.3937007874015748" top="0.3937007874015748" bottom="0.3937007874015748" header="0" footer="0"/>
  <pageSetup horizontalDpi="600" verticalDpi="600" orientation="portrait" paperSize="9" r:id="rId1"/>
  <rowBreaks count="2" manualBreakCount="2">
    <brk id="35" max="255" man="1"/>
    <brk id="60" max="255" man="1"/>
  </rowBreaks>
</worksheet>
</file>

<file path=xl/worksheets/sheet13.xml><?xml version="1.0" encoding="utf-8"?>
<worksheet xmlns="http://schemas.openxmlformats.org/spreadsheetml/2006/main" xmlns:r="http://schemas.openxmlformats.org/officeDocument/2006/relationships">
  <sheetPr codeName="Ark8"/>
  <dimension ref="B2:O187"/>
  <sheetViews>
    <sheetView showGridLines="0" showRowColHeaders="0" workbookViewId="0" topLeftCell="A1">
      <selection activeCell="A1" sqref="A1"/>
    </sheetView>
  </sheetViews>
  <sheetFormatPr defaultColWidth="9.140625" defaultRowHeight="16.5" customHeight="1"/>
  <cols>
    <col min="1" max="1" width="7.7109375" style="1" customWidth="1"/>
    <col min="2" max="2" width="1.7109375" style="1" customWidth="1"/>
    <col min="3" max="3" width="10.7109375" style="1" customWidth="1"/>
    <col min="4" max="4" width="1.7109375" style="1" customWidth="1"/>
    <col min="5" max="5" width="10.7109375" style="1" customWidth="1"/>
    <col min="6" max="6" width="1.7109375" style="1" customWidth="1"/>
    <col min="7" max="7" width="10.7109375" style="1" customWidth="1"/>
    <col min="8" max="8" width="1.7109375" style="1" customWidth="1"/>
    <col min="9" max="9" width="10.7109375" style="1" customWidth="1"/>
    <col min="10" max="10" width="1.7109375" style="1" customWidth="1"/>
    <col min="11" max="11" width="10.7109375" style="1" customWidth="1"/>
    <col min="12" max="12" width="1.7109375" style="1" customWidth="1"/>
    <col min="13" max="13" width="10.7109375" style="1" customWidth="1"/>
    <col min="14" max="14" width="1.7109375" style="1" customWidth="1"/>
    <col min="15" max="15" width="10.7109375" style="1" customWidth="1"/>
    <col min="16" max="16" width="1.7109375" style="1" customWidth="1"/>
    <col min="17" max="16384" width="9.140625" style="1" customWidth="1"/>
  </cols>
  <sheetData>
    <row r="1" ht="12.75" customHeight="1"/>
    <row r="2" spans="2:15" ht="12.75" customHeight="1">
      <c r="B2" s="434">
        <f>sideregn2+1</f>
        <v>10</v>
      </c>
      <c r="C2" s="434"/>
      <c r="D2" s="434"/>
      <c r="E2" s="434"/>
      <c r="F2" s="434"/>
      <c r="G2" s="434"/>
      <c r="H2" s="434"/>
      <c r="I2" s="434"/>
      <c r="J2" s="434"/>
      <c r="K2" s="434"/>
      <c r="L2" s="434"/>
      <c r="M2" s="434"/>
      <c r="N2" s="434"/>
      <c r="O2" s="434"/>
    </row>
    <row r="3" spans="2:15" ht="12.75" customHeight="1">
      <c r="B3" s="161"/>
      <c r="C3" s="161"/>
      <c r="D3" s="161"/>
      <c r="E3" s="161"/>
      <c r="F3" s="161"/>
      <c r="G3" s="161"/>
      <c r="H3" s="161"/>
      <c r="I3" s="161"/>
      <c r="J3" s="161"/>
      <c r="K3" s="161"/>
      <c r="L3" s="161"/>
      <c r="M3" s="161"/>
      <c r="N3" s="161"/>
      <c r="O3" s="161"/>
    </row>
    <row r="4" spans="2:15" ht="12.75" customHeight="1">
      <c r="B4" s="161"/>
      <c r="C4" s="161"/>
      <c r="D4" s="161"/>
      <c r="E4" s="161"/>
      <c r="F4" s="161"/>
      <c r="G4" s="161"/>
      <c r="H4" s="161"/>
      <c r="I4" s="161"/>
      <c r="J4" s="161"/>
      <c r="K4" s="161"/>
      <c r="L4" s="161"/>
      <c r="M4" s="161"/>
      <c r="N4" s="161"/>
      <c r="O4" s="161"/>
    </row>
    <row r="5" spans="2:15" ht="39" customHeight="1">
      <c r="B5" s="136" t="s">
        <v>318</v>
      </c>
      <c r="C5" s="161"/>
      <c r="D5" s="161"/>
      <c r="E5" s="161"/>
      <c r="F5" s="161"/>
      <c r="G5" s="161"/>
      <c r="H5" s="161"/>
      <c r="I5" s="161"/>
      <c r="J5" s="161"/>
      <c r="K5" s="161"/>
      <c r="L5" s="161"/>
      <c r="M5" s="161"/>
      <c r="N5" s="161"/>
      <c r="O5" s="161"/>
    </row>
    <row r="6" spans="2:15" ht="12.75" customHeight="1">
      <c r="B6" s="161"/>
      <c r="C6" s="161"/>
      <c r="D6" s="161"/>
      <c r="E6" s="161"/>
      <c r="F6" s="161"/>
      <c r="G6" s="161"/>
      <c r="H6" s="161"/>
      <c r="I6" s="161"/>
      <c r="J6" s="161"/>
      <c r="K6" s="161"/>
      <c r="L6" s="161"/>
      <c r="M6" s="161"/>
      <c r="N6" s="161"/>
      <c r="O6" s="161"/>
    </row>
    <row r="7" spans="2:15" ht="12.75" customHeight="1">
      <c r="B7" s="161"/>
      <c r="C7" s="161"/>
      <c r="D7" s="161"/>
      <c r="E7" s="161"/>
      <c r="F7" s="161"/>
      <c r="G7" s="161"/>
      <c r="H7" s="161"/>
      <c r="I7" s="161"/>
      <c r="J7" s="161"/>
      <c r="K7" s="161"/>
      <c r="L7" s="161"/>
      <c r="M7" s="161"/>
      <c r="N7" s="161"/>
      <c r="O7" s="161"/>
    </row>
    <row r="8" spans="2:15" ht="12.75" customHeight="1">
      <c r="B8" s="161"/>
      <c r="C8" s="161"/>
      <c r="D8" s="161"/>
      <c r="E8" s="161"/>
      <c r="F8" s="161"/>
      <c r="G8" s="161"/>
      <c r="H8" s="161"/>
      <c r="I8" s="161"/>
      <c r="J8" s="161"/>
      <c r="K8" s="161"/>
      <c r="L8" s="161"/>
      <c r="M8" s="161"/>
      <c r="N8" s="161"/>
      <c r="O8" s="161"/>
    </row>
    <row r="9" spans="2:15" ht="12.75" customHeight="1">
      <c r="B9" s="161"/>
      <c r="C9" s="161"/>
      <c r="D9" s="161"/>
      <c r="E9" s="161"/>
      <c r="F9" s="161"/>
      <c r="G9" s="161"/>
      <c r="H9" s="161"/>
      <c r="I9" s="161"/>
      <c r="J9" s="161"/>
      <c r="K9" s="161"/>
      <c r="L9" s="161"/>
      <c r="M9" s="161"/>
      <c r="N9" s="161"/>
      <c r="O9" s="161"/>
    </row>
    <row r="10" spans="2:15" ht="16.5" customHeight="1">
      <c r="B10" s="207" t="str">
        <f>"Note "&amp;Åregn!I10&amp;" - Nettoomsætning"</f>
        <v>Note 1 - Nettoomsætning</v>
      </c>
      <c r="C10" s="135"/>
      <c r="D10" s="135"/>
      <c r="E10" s="135"/>
      <c r="F10" s="135"/>
      <c r="G10" s="135"/>
      <c r="H10" s="135"/>
      <c r="I10" s="135"/>
      <c r="J10" s="135"/>
      <c r="K10" s="135"/>
      <c r="L10" s="135"/>
      <c r="M10" s="135"/>
      <c r="N10" s="135"/>
      <c r="O10" s="135"/>
    </row>
    <row r="11" spans="2:15" ht="16.5" customHeight="1">
      <c r="B11" s="135" t="str">
        <f>Noms1</f>
        <v>Nettoomsætning segment 1</v>
      </c>
      <c r="C11" s="135"/>
      <c r="D11" s="135"/>
      <c r="E11" s="135"/>
      <c r="F11" s="135"/>
      <c r="G11" s="135"/>
      <c r="H11" s="135"/>
      <c r="I11" s="135"/>
      <c r="J11" s="135"/>
      <c r="K11" s="135"/>
      <c r="L11" s="135"/>
      <c r="M11" s="205">
        <f>Saldobalance_Input!D9</f>
        <v>4073065</v>
      </c>
      <c r="N11" s="135"/>
      <c r="O11" s="205">
        <f>Saldobalance_Input!G9</f>
        <v>3481365</v>
      </c>
    </row>
    <row r="12" spans="2:15" ht="16.5" customHeight="1">
      <c r="B12" s="135" t="str">
        <f>Noms2</f>
        <v>Nettoomsætning segment 2</v>
      </c>
      <c r="C12" s="135"/>
      <c r="D12" s="135"/>
      <c r="E12" s="135"/>
      <c r="F12" s="135"/>
      <c r="G12" s="135"/>
      <c r="H12" s="135"/>
      <c r="I12" s="135"/>
      <c r="J12" s="135"/>
      <c r="K12" s="135"/>
      <c r="L12" s="135"/>
      <c r="M12" s="205">
        <f>Saldobalance_Input!D10</f>
        <v>0</v>
      </c>
      <c r="N12" s="135"/>
      <c r="O12" s="205">
        <f>Saldobalance_Input!G10</f>
        <v>0</v>
      </c>
    </row>
    <row r="13" spans="2:15" ht="16.5" customHeight="1">
      <c r="B13" s="135" t="str">
        <f>Noms3</f>
        <v>Nettoomsætning segment 3</v>
      </c>
      <c r="C13" s="135"/>
      <c r="D13" s="135"/>
      <c r="E13" s="135"/>
      <c r="F13" s="135"/>
      <c r="G13" s="135"/>
      <c r="H13" s="135"/>
      <c r="I13" s="135"/>
      <c r="J13" s="135"/>
      <c r="K13" s="135"/>
      <c r="L13" s="135"/>
      <c r="M13" s="205">
        <f>Saldobalance_Input!D11</f>
        <v>-37162.999999999796</v>
      </c>
      <c r="N13" s="135"/>
      <c r="O13" s="205">
        <f>Saldobalance_Input!G11</f>
        <v>-32964</v>
      </c>
    </row>
    <row r="14" spans="2:15" ht="16.5" customHeight="1">
      <c r="B14" s="135" t="str">
        <f>igang</f>
        <v>Regulering af igangværende arbejder for fremmed regning</v>
      </c>
      <c r="C14" s="135"/>
      <c r="D14" s="135"/>
      <c r="E14" s="135"/>
      <c r="F14" s="135"/>
      <c r="G14" s="135"/>
      <c r="H14" s="135"/>
      <c r="I14" s="135"/>
      <c r="J14" s="135"/>
      <c r="K14" s="135"/>
      <c r="L14" s="135"/>
      <c r="M14" s="205">
        <f>Saldobalance_Input!D12</f>
        <v>0</v>
      </c>
      <c r="N14" s="135"/>
      <c r="O14" s="205">
        <f>Saldobalance_Input!G12</f>
        <v>0</v>
      </c>
    </row>
    <row r="15" spans="2:15" ht="16.5" customHeight="1" thickBot="1">
      <c r="B15" s="211"/>
      <c r="C15" s="135"/>
      <c r="D15" s="135"/>
      <c r="E15" s="135"/>
      <c r="F15" s="135"/>
      <c r="G15" s="135"/>
      <c r="H15" s="135"/>
      <c r="I15" s="135"/>
      <c r="J15" s="135"/>
      <c r="K15" s="135"/>
      <c r="L15" s="135"/>
      <c r="M15" s="225">
        <f>SUM(M11:M14)</f>
        <v>4035902</v>
      </c>
      <c r="N15" s="135"/>
      <c r="O15" s="225">
        <f>SUM(O11:O14)</f>
        <v>3448401</v>
      </c>
    </row>
    <row r="16" spans="2:15" ht="16.5" customHeight="1" thickTop="1">
      <c r="B16" s="135"/>
      <c r="C16" s="135"/>
      <c r="D16" s="135"/>
      <c r="E16" s="135"/>
      <c r="F16" s="135"/>
      <c r="G16" s="135"/>
      <c r="H16" s="135"/>
      <c r="I16" s="135"/>
      <c r="J16" s="135"/>
      <c r="K16" s="135"/>
      <c r="L16" s="135"/>
      <c r="M16" s="135"/>
      <c r="N16" s="135"/>
      <c r="O16" s="135"/>
    </row>
    <row r="17" spans="2:15" ht="16.5" customHeight="1">
      <c r="B17" s="135"/>
      <c r="C17" s="135"/>
      <c r="D17" s="135"/>
      <c r="E17" s="135"/>
      <c r="F17" s="135"/>
      <c r="G17" s="135"/>
      <c r="H17" s="135"/>
      <c r="I17" s="135"/>
      <c r="J17" s="135"/>
      <c r="K17" s="135"/>
      <c r="L17" s="135"/>
      <c r="M17" s="135"/>
      <c r="N17" s="135"/>
      <c r="O17" s="135"/>
    </row>
    <row r="18" spans="2:15" ht="16.5" customHeight="1">
      <c r="B18" s="207" t="str">
        <f>"Note "&amp;Åregn!I15&amp;" - Distributionsomkostninger"</f>
        <v>Note 2 - Distributionsomkostninger</v>
      </c>
      <c r="C18" s="135"/>
      <c r="D18" s="135"/>
      <c r="E18" s="135"/>
      <c r="F18" s="135"/>
      <c r="G18" s="135"/>
      <c r="H18" s="135"/>
      <c r="I18" s="135"/>
      <c r="J18" s="135"/>
      <c r="K18" s="135"/>
      <c r="L18" s="135"/>
      <c r="M18" s="135"/>
      <c r="N18" s="135"/>
      <c r="O18" s="135"/>
    </row>
    <row r="19" spans="2:15" ht="16.5" customHeight="1">
      <c r="B19" s="130" t="s">
        <v>136</v>
      </c>
      <c r="C19" s="135"/>
      <c r="D19" s="135"/>
      <c r="E19" s="135"/>
      <c r="F19" s="135"/>
      <c r="G19" s="135"/>
      <c r="H19" s="135"/>
      <c r="I19" s="135"/>
      <c r="J19" s="135"/>
      <c r="K19" s="135"/>
      <c r="L19" s="135"/>
      <c r="M19" s="205">
        <f>Saldobalance_Input!C22</f>
        <v>128103</v>
      </c>
      <c r="N19" s="135"/>
      <c r="O19" s="205">
        <f>Saldobalance_Input!F22</f>
        <v>131616</v>
      </c>
    </row>
    <row r="20" spans="2:15" ht="16.5" customHeight="1">
      <c r="B20" s="130" t="s">
        <v>137</v>
      </c>
      <c r="C20" s="135"/>
      <c r="D20" s="135"/>
      <c r="E20" s="135"/>
      <c r="F20" s="135"/>
      <c r="G20" s="135"/>
      <c r="H20" s="135"/>
      <c r="I20" s="135"/>
      <c r="J20" s="135"/>
      <c r="K20" s="135"/>
      <c r="L20" s="135"/>
      <c r="M20" s="205">
        <f>Saldobalance_Input!C23</f>
        <v>10907</v>
      </c>
      <c r="N20" s="135"/>
      <c r="O20" s="205">
        <f>Saldobalance_Input!F23</f>
        <v>8058</v>
      </c>
    </row>
    <row r="21" spans="2:15" ht="16.5" customHeight="1">
      <c r="B21" s="130" t="s">
        <v>138</v>
      </c>
      <c r="C21" s="135"/>
      <c r="D21" s="135"/>
      <c r="E21" s="135"/>
      <c r="F21" s="135"/>
      <c r="G21" s="135"/>
      <c r="H21" s="135"/>
      <c r="I21" s="135"/>
      <c r="J21" s="135"/>
      <c r="K21" s="135"/>
      <c r="L21" s="135"/>
      <c r="M21" s="205">
        <f>Saldobalance_Input!C24</f>
        <v>4337</v>
      </c>
      <c r="N21" s="135"/>
      <c r="O21" s="205">
        <f>Saldobalance_Input!F24</f>
        <v>5284</v>
      </c>
    </row>
    <row r="22" spans="2:15" ht="16.5" customHeight="1">
      <c r="B22" s="130" t="s">
        <v>139</v>
      </c>
      <c r="C22" s="135"/>
      <c r="D22" s="135"/>
      <c r="E22" s="135"/>
      <c r="F22" s="135"/>
      <c r="G22" s="135"/>
      <c r="H22" s="135"/>
      <c r="I22" s="135"/>
      <c r="J22" s="135"/>
      <c r="K22" s="135"/>
      <c r="L22" s="135"/>
      <c r="M22" s="205">
        <f>Saldobalance_Input!C25</f>
        <v>93411</v>
      </c>
      <c r="N22" s="135"/>
      <c r="O22" s="205">
        <f>Saldobalance_Input!F25</f>
        <v>80297</v>
      </c>
    </row>
    <row r="23" spans="2:15" ht="16.5" customHeight="1">
      <c r="B23" s="130" t="s">
        <v>140</v>
      </c>
      <c r="C23" s="135"/>
      <c r="D23" s="135"/>
      <c r="E23" s="135"/>
      <c r="F23" s="135"/>
      <c r="G23" s="135"/>
      <c r="H23" s="135"/>
      <c r="I23" s="135"/>
      <c r="J23" s="135"/>
      <c r="K23" s="135"/>
      <c r="L23" s="135"/>
      <c r="M23" s="205">
        <f>Saldobalance_Input!C26</f>
        <v>28374</v>
      </c>
      <c r="N23" s="135"/>
      <c r="O23" s="205">
        <f>Saldobalance_Input!F26</f>
        <v>24683</v>
      </c>
    </row>
    <row r="24" spans="2:15" ht="16.5" customHeight="1">
      <c r="B24" s="130" t="s">
        <v>307</v>
      </c>
      <c r="C24" s="135"/>
      <c r="D24" s="135"/>
      <c r="E24" s="135"/>
      <c r="F24" s="135"/>
      <c r="G24" s="135"/>
      <c r="H24" s="135"/>
      <c r="I24" s="135"/>
      <c r="J24" s="135"/>
      <c r="K24" s="135"/>
      <c r="L24" s="135"/>
      <c r="M24" s="205">
        <f>Saldobalance_Input!C27</f>
        <v>24400</v>
      </c>
      <c r="N24" s="135"/>
      <c r="O24" s="205">
        <f>Saldobalance_Input!F27</f>
        <v>22276</v>
      </c>
    </row>
    <row r="25" spans="2:15" ht="16.5" customHeight="1">
      <c r="B25" s="130" t="s">
        <v>144</v>
      </c>
      <c r="C25" s="135"/>
      <c r="D25" s="135"/>
      <c r="E25" s="135"/>
      <c r="F25" s="135"/>
      <c r="G25" s="135"/>
      <c r="H25" s="135"/>
      <c r="I25" s="135"/>
      <c r="J25" s="135"/>
      <c r="K25" s="135"/>
      <c r="L25" s="135"/>
      <c r="M25" s="205">
        <f>Saldobalance_Input!C28</f>
        <v>26345</v>
      </c>
      <c r="N25" s="135"/>
      <c r="O25" s="205">
        <f>Saldobalance_Input!F28</f>
        <v>7635</v>
      </c>
    </row>
    <row r="26" spans="2:15" ht="16.5" customHeight="1">
      <c r="B26" s="130" t="s">
        <v>142</v>
      </c>
      <c r="C26" s="135"/>
      <c r="D26" s="135"/>
      <c r="E26" s="135"/>
      <c r="F26" s="135"/>
      <c r="G26" s="135"/>
      <c r="H26" s="135"/>
      <c r="I26" s="135"/>
      <c r="J26" s="135"/>
      <c r="K26" s="135"/>
      <c r="L26" s="135"/>
      <c r="M26" s="205">
        <f>Saldobalance_Input!C29</f>
        <v>19782</v>
      </c>
      <c r="N26" s="135"/>
      <c r="O26" s="205">
        <f>Saldobalance_Input!F29</f>
        <v>2285</v>
      </c>
    </row>
    <row r="27" spans="2:15" ht="16.5" customHeight="1">
      <c r="B27" s="130" t="s">
        <v>321</v>
      </c>
      <c r="C27" s="135"/>
      <c r="D27" s="135"/>
      <c r="E27" s="135"/>
      <c r="F27" s="135"/>
      <c r="G27" s="135"/>
      <c r="H27" s="135"/>
      <c r="I27" s="135"/>
      <c r="J27" s="135"/>
      <c r="K27" s="135"/>
      <c r="L27" s="135"/>
      <c r="M27" s="205">
        <f>Saldobalance_Input!C30</f>
        <v>0</v>
      </c>
      <c r="N27" s="135"/>
      <c r="O27" s="205">
        <f>Saldobalance_Input!F30</f>
        <v>50000</v>
      </c>
    </row>
    <row r="28" spans="2:15" ht="16.5" customHeight="1" thickBot="1">
      <c r="B28" s="207"/>
      <c r="C28" s="135"/>
      <c r="D28" s="135"/>
      <c r="E28" s="135"/>
      <c r="F28" s="135"/>
      <c r="G28" s="135"/>
      <c r="H28" s="135"/>
      <c r="I28" s="135"/>
      <c r="J28" s="135"/>
      <c r="K28" s="135"/>
      <c r="L28" s="135"/>
      <c r="M28" s="225">
        <f>SUM(M19:M27)</f>
        <v>335659</v>
      </c>
      <c r="N28" s="135"/>
      <c r="O28" s="225">
        <f>SUM(O19:O27)</f>
        <v>332134</v>
      </c>
    </row>
    <row r="29" spans="2:15" ht="16.5" customHeight="1" thickTop="1">
      <c r="B29" s="135"/>
      <c r="C29" s="135"/>
      <c r="D29" s="135"/>
      <c r="E29" s="135"/>
      <c r="F29" s="135"/>
      <c r="G29" s="135"/>
      <c r="H29" s="135"/>
      <c r="I29" s="135"/>
      <c r="J29" s="135"/>
      <c r="K29" s="135"/>
      <c r="L29" s="135"/>
      <c r="M29" s="135"/>
      <c r="N29" s="135"/>
      <c r="O29" s="135"/>
    </row>
    <row r="30" spans="2:15" ht="16.5" customHeight="1">
      <c r="B30" s="53" t="str">
        <f>"Note "&amp;Åregn!I16&amp;" - Administrationsomkostninger"</f>
        <v>Note 3 - Administrationsomkostninger</v>
      </c>
      <c r="C30" s="135"/>
      <c r="D30" s="135"/>
      <c r="E30" s="135"/>
      <c r="F30" s="135"/>
      <c r="G30" s="135"/>
      <c r="H30" s="135"/>
      <c r="I30" s="135"/>
      <c r="J30" s="135"/>
      <c r="K30" s="135"/>
      <c r="L30" s="135"/>
      <c r="M30" s="135"/>
      <c r="N30" s="135"/>
      <c r="O30" s="135"/>
    </row>
    <row r="31" spans="2:15" ht="16.5" customHeight="1">
      <c r="B31" s="130" t="s">
        <v>148</v>
      </c>
      <c r="C31" s="135"/>
      <c r="D31" s="135"/>
      <c r="E31" s="135"/>
      <c r="F31" s="135"/>
      <c r="G31" s="135"/>
      <c r="H31" s="135"/>
      <c r="I31" s="135"/>
      <c r="J31" s="135"/>
      <c r="K31" s="135"/>
      <c r="L31" s="135"/>
      <c r="M31" s="205">
        <f>Saldobalance_Input!C34</f>
        <v>35823</v>
      </c>
      <c r="N31" s="135"/>
      <c r="O31" s="205">
        <f>Saldobalance_Input!F34</f>
        <v>30264</v>
      </c>
    </row>
    <row r="32" spans="2:15" ht="16.5" customHeight="1">
      <c r="B32" s="130" t="s">
        <v>149</v>
      </c>
      <c r="C32" s="135"/>
      <c r="D32" s="135"/>
      <c r="E32" s="135"/>
      <c r="F32" s="135"/>
      <c r="G32" s="135"/>
      <c r="H32" s="135"/>
      <c r="I32" s="135"/>
      <c r="J32" s="135"/>
      <c r="K32" s="135"/>
      <c r="L32" s="135"/>
      <c r="M32" s="205">
        <f>Saldobalance_Input!C35</f>
        <v>10939</v>
      </c>
      <c r="N32" s="135"/>
      <c r="O32" s="205">
        <f>Saldobalance_Input!F35</f>
        <v>6312</v>
      </c>
    </row>
    <row r="33" spans="2:15" ht="16.5" customHeight="1">
      <c r="B33" s="130" t="s">
        <v>150</v>
      </c>
      <c r="C33" s="135"/>
      <c r="D33" s="135"/>
      <c r="E33" s="135"/>
      <c r="F33" s="135"/>
      <c r="G33" s="135"/>
      <c r="H33" s="135"/>
      <c r="I33" s="135"/>
      <c r="J33" s="135"/>
      <c r="K33" s="135"/>
      <c r="L33" s="135"/>
      <c r="M33" s="205">
        <f>Saldobalance_Input!C36</f>
        <v>21454</v>
      </c>
      <c r="N33" s="135"/>
      <c r="O33" s="205">
        <f>Saldobalance_Input!F36</f>
        <v>23845</v>
      </c>
    </row>
    <row r="34" spans="2:15" ht="16.5" customHeight="1">
      <c r="B34" s="130" t="s">
        <v>151</v>
      </c>
      <c r="C34" s="135"/>
      <c r="D34" s="135"/>
      <c r="E34" s="135"/>
      <c r="F34" s="135"/>
      <c r="G34" s="135"/>
      <c r="H34" s="135"/>
      <c r="I34" s="135"/>
      <c r="J34" s="135"/>
      <c r="K34" s="135"/>
      <c r="L34" s="135"/>
      <c r="M34" s="205">
        <f>Saldobalance_Input!C37</f>
        <v>9996</v>
      </c>
      <c r="N34" s="135"/>
      <c r="O34" s="205">
        <f>Saldobalance_Input!F37</f>
        <v>9362</v>
      </c>
    </row>
    <row r="35" spans="2:15" ht="16.5" customHeight="1">
      <c r="B35" s="130" t="s">
        <v>152</v>
      </c>
      <c r="C35" s="135"/>
      <c r="D35" s="135"/>
      <c r="E35" s="135"/>
      <c r="F35" s="135"/>
      <c r="G35" s="135"/>
      <c r="H35" s="135"/>
      <c r="I35" s="135"/>
      <c r="J35" s="135"/>
      <c r="K35" s="135"/>
      <c r="L35" s="135"/>
      <c r="M35" s="205">
        <f>Saldobalance_Input!C38</f>
        <v>6687</v>
      </c>
      <c r="N35" s="135"/>
      <c r="O35" s="205">
        <f>Saldobalance_Input!F38</f>
        <v>10216</v>
      </c>
    </row>
    <row r="36" spans="2:15" ht="16.5" customHeight="1">
      <c r="B36" s="130" t="s">
        <v>153</v>
      </c>
      <c r="C36" s="135"/>
      <c r="D36" s="135"/>
      <c r="E36" s="135"/>
      <c r="F36" s="135"/>
      <c r="G36" s="135"/>
      <c r="H36" s="135"/>
      <c r="I36" s="135"/>
      <c r="J36" s="135"/>
      <c r="K36" s="135"/>
      <c r="L36" s="135"/>
      <c r="M36" s="205">
        <f>Saldobalance_Input!C39</f>
        <v>54529</v>
      </c>
      <c r="N36" s="135"/>
      <c r="O36" s="205">
        <f>Saldobalance_Input!F39</f>
        <v>53192</v>
      </c>
    </row>
    <row r="37" spans="2:15" ht="16.5" customHeight="1">
      <c r="B37" s="130" t="s">
        <v>154</v>
      </c>
      <c r="C37" s="135"/>
      <c r="D37" s="135"/>
      <c r="E37" s="135"/>
      <c r="F37" s="135"/>
      <c r="G37" s="135"/>
      <c r="H37" s="135"/>
      <c r="I37" s="135"/>
      <c r="J37" s="135"/>
      <c r="K37" s="135"/>
      <c r="L37" s="135"/>
      <c r="M37" s="205">
        <f>Saldobalance_Input!C40</f>
        <v>10220</v>
      </c>
      <c r="N37" s="135"/>
      <c r="O37" s="205">
        <f>Saldobalance_Input!F40</f>
        <v>10180</v>
      </c>
    </row>
    <row r="38" spans="2:15" ht="16.5" customHeight="1">
      <c r="B38" s="130" t="s">
        <v>155</v>
      </c>
      <c r="C38" s="135"/>
      <c r="D38" s="135"/>
      <c r="E38" s="135"/>
      <c r="F38" s="135"/>
      <c r="G38" s="135"/>
      <c r="H38" s="135"/>
      <c r="I38" s="135"/>
      <c r="J38" s="135"/>
      <c r="K38" s="135"/>
      <c r="L38" s="135"/>
      <c r="M38" s="205">
        <f>Saldobalance_Input!C41</f>
        <v>17000</v>
      </c>
      <c r="N38" s="135"/>
      <c r="O38" s="205">
        <f>Saldobalance_Input!F41</f>
        <v>17000</v>
      </c>
    </row>
    <row r="39" spans="2:15" ht="16.5" customHeight="1">
      <c r="B39" s="130" t="s">
        <v>156</v>
      </c>
      <c r="C39" s="135"/>
      <c r="D39" s="135"/>
      <c r="E39" s="135"/>
      <c r="F39" s="135"/>
      <c r="G39" s="135"/>
      <c r="H39" s="135"/>
      <c r="I39" s="135"/>
      <c r="J39" s="135"/>
      <c r="K39" s="135"/>
      <c r="L39" s="135"/>
      <c r="M39" s="205">
        <f>Saldobalance_Input!C42</f>
        <v>5100</v>
      </c>
      <c r="N39" s="135"/>
      <c r="O39" s="205">
        <f>Saldobalance_Input!F42</f>
        <v>3932</v>
      </c>
    </row>
    <row r="40" spans="2:15" ht="16.5" customHeight="1">
      <c r="B40" s="130" t="s">
        <v>157</v>
      </c>
      <c r="C40" s="135"/>
      <c r="D40" s="135"/>
      <c r="E40" s="135"/>
      <c r="F40" s="135"/>
      <c r="G40" s="135"/>
      <c r="H40" s="135"/>
      <c r="I40" s="135"/>
      <c r="J40" s="135"/>
      <c r="K40" s="135"/>
      <c r="L40" s="135"/>
      <c r="M40" s="205">
        <f>Saldobalance_Input!C43</f>
        <v>3250</v>
      </c>
      <c r="N40" s="135"/>
      <c r="O40" s="205">
        <f>Saldobalance_Input!F43</f>
        <v>0</v>
      </c>
    </row>
    <row r="41" spans="2:15" ht="16.5" customHeight="1" thickBot="1">
      <c r="B41" s="207"/>
      <c r="C41" s="135"/>
      <c r="D41" s="135"/>
      <c r="E41" s="135"/>
      <c r="F41" s="135"/>
      <c r="G41" s="135"/>
      <c r="H41" s="135"/>
      <c r="I41" s="135"/>
      <c r="J41" s="135"/>
      <c r="K41" s="135"/>
      <c r="L41" s="135"/>
      <c r="M41" s="225">
        <f>SUM(M31:M40)</f>
        <v>174998</v>
      </c>
      <c r="N41" s="135"/>
      <c r="O41" s="225">
        <f>SUM(O31:O40)</f>
        <v>164303</v>
      </c>
    </row>
    <row r="42" spans="2:15" ht="16.5" customHeight="1" thickTop="1">
      <c r="B42" s="135"/>
      <c r="C42" s="135"/>
      <c r="D42" s="135"/>
      <c r="E42" s="135"/>
      <c r="F42" s="135"/>
      <c r="G42" s="135"/>
      <c r="H42" s="135"/>
      <c r="I42" s="135"/>
      <c r="J42" s="135"/>
      <c r="K42" s="135"/>
      <c r="L42" s="135"/>
      <c r="M42" s="135"/>
      <c r="N42" s="135"/>
      <c r="O42" s="135"/>
    </row>
    <row r="43" spans="2:15" ht="12.75" customHeight="1">
      <c r="B43" s="434">
        <f>sideregn2+2</f>
        <v>11</v>
      </c>
      <c r="C43" s="434"/>
      <c r="D43" s="434"/>
      <c r="E43" s="434"/>
      <c r="F43" s="434"/>
      <c r="G43" s="434"/>
      <c r="H43" s="434"/>
      <c r="I43" s="434"/>
      <c r="J43" s="434"/>
      <c r="K43" s="434"/>
      <c r="L43" s="434"/>
      <c r="M43" s="434"/>
      <c r="N43" s="434"/>
      <c r="O43" s="434"/>
    </row>
    <row r="44" spans="2:15" ht="12.75" customHeight="1">
      <c r="B44" s="161"/>
      <c r="C44" s="161"/>
      <c r="D44" s="161"/>
      <c r="E44" s="161"/>
      <c r="F44" s="161"/>
      <c r="G44" s="161"/>
      <c r="H44" s="161"/>
      <c r="I44" s="161"/>
      <c r="J44" s="161"/>
      <c r="K44" s="161"/>
      <c r="L44" s="161"/>
      <c r="M44" s="161"/>
      <c r="N44" s="161"/>
      <c r="O44" s="161"/>
    </row>
    <row r="45" spans="2:15" ht="12.75" customHeight="1">
      <c r="B45" s="161"/>
      <c r="C45" s="161"/>
      <c r="D45" s="161"/>
      <c r="E45" s="161"/>
      <c r="F45" s="161"/>
      <c r="G45" s="161"/>
      <c r="H45" s="161"/>
      <c r="I45" s="161"/>
      <c r="J45" s="161"/>
      <c r="K45" s="161"/>
      <c r="L45" s="161"/>
      <c r="M45" s="161"/>
      <c r="N45" s="161"/>
      <c r="O45" s="161"/>
    </row>
    <row r="46" spans="2:15" ht="39" customHeight="1">
      <c r="B46" s="136" t="s">
        <v>318</v>
      </c>
      <c r="C46" s="161"/>
      <c r="D46" s="161"/>
      <c r="E46" s="161"/>
      <c r="F46" s="161"/>
      <c r="G46" s="161"/>
      <c r="H46" s="161"/>
      <c r="I46" s="161"/>
      <c r="J46" s="161"/>
      <c r="K46" s="161"/>
      <c r="L46" s="161"/>
      <c r="M46" s="161"/>
      <c r="N46" s="161"/>
      <c r="O46" s="161"/>
    </row>
    <row r="47" spans="2:15" ht="12.75" customHeight="1">
      <c r="B47" s="161"/>
      <c r="C47" s="161"/>
      <c r="D47" s="161"/>
      <c r="E47" s="161"/>
      <c r="F47" s="161"/>
      <c r="G47" s="161"/>
      <c r="H47" s="161"/>
      <c r="I47" s="161"/>
      <c r="J47" s="161"/>
      <c r="K47" s="161"/>
      <c r="L47" s="161"/>
      <c r="M47" s="161"/>
      <c r="N47" s="161"/>
      <c r="O47" s="161"/>
    </row>
    <row r="48" spans="2:15" ht="12.75" customHeight="1">
      <c r="B48" s="161"/>
      <c r="C48" s="161"/>
      <c r="D48" s="161"/>
      <c r="E48" s="161"/>
      <c r="F48" s="161"/>
      <c r="G48" s="161"/>
      <c r="H48" s="161"/>
      <c r="I48" s="161"/>
      <c r="J48" s="161"/>
      <c r="K48" s="161"/>
      <c r="L48" s="161"/>
      <c r="M48" s="161"/>
      <c r="N48" s="161"/>
      <c r="O48" s="161"/>
    </row>
    <row r="49" spans="2:15" ht="12.75" customHeight="1">
      <c r="B49" s="161"/>
      <c r="C49" s="161"/>
      <c r="D49" s="161"/>
      <c r="E49" s="161"/>
      <c r="F49" s="161"/>
      <c r="G49" s="161"/>
      <c r="H49" s="161"/>
      <c r="I49" s="161"/>
      <c r="J49" s="161"/>
      <c r="K49" s="161"/>
      <c r="L49" s="161"/>
      <c r="M49" s="161"/>
      <c r="N49" s="161"/>
      <c r="O49" s="161"/>
    </row>
    <row r="50" spans="2:15" ht="12.75" customHeight="1">
      <c r="B50" s="161"/>
      <c r="C50" s="161"/>
      <c r="D50" s="161"/>
      <c r="E50" s="161"/>
      <c r="F50" s="161"/>
      <c r="G50" s="161"/>
      <c r="H50" s="161"/>
      <c r="I50" s="161"/>
      <c r="J50" s="161"/>
      <c r="K50" s="161"/>
      <c r="L50" s="161"/>
      <c r="M50" s="161"/>
      <c r="N50" s="161"/>
      <c r="O50" s="161"/>
    </row>
    <row r="51" spans="2:15" ht="16.5" customHeight="1">
      <c r="B51" s="207" t="str">
        <f>"Note "&amp;Åregn!I17&amp;" - Lokaleomkostninger"</f>
        <v>Note 4 - Lokaleomkostninger</v>
      </c>
      <c r="C51" s="135"/>
      <c r="D51" s="135"/>
      <c r="E51" s="135"/>
      <c r="F51" s="135"/>
      <c r="G51" s="135"/>
      <c r="H51" s="135"/>
      <c r="I51" s="135"/>
      <c r="J51" s="135"/>
      <c r="K51" s="135"/>
      <c r="L51" s="135"/>
      <c r="M51" s="135"/>
      <c r="N51" s="135"/>
      <c r="O51" s="135"/>
    </row>
    <row r="52" spans="2:15" ht="16.5" customHeight="1">
      <c r="B52" s="130" t="s">
        <v>160</v>
      </c>
      <c r="C52" s="135"/>
      <c r="D52" s="135"/>
      <c r="E52" s="135"/>
      <c r="F52" s="135"/>
      <c r="G52" s="135"/>
      <c r="H52" s="135"/>
      <c r="I52" s="135"/>
      <c r="J52" s="135"/>
      <c r="K52" s="135"/>
      <c r="L52" s="135"/>
      <c r="M52" s="205">
        <f>Saldobalance_Input!C47</f>
        <v>32328</v>
      </c>
      <c r="N52" s="135"/>
      <c r="O52" s="205">
        <f>Saldobalance_Input!F47</f>
        <v>34562</v>
      </c>
    </row>
    <row r="53" spans="2:15" ht="16.5" customHeight="1">
      <c r="B53" s="130" t="s">
        <v>161</v>
      </c>
      <c r="C53" s="135"/>
      <c r="D53" s="135"/>
      <c r="E53" s="135"/>
      <c r="F53" s="135"/>
      <c r="G53" s="135"/>
      <c r="H53" s="135"/>
      <c r="I53" s="135"/>
      <c r="J53" s="135"/>
      <c r="K53" s="135"/>
      <c r="L53" s="135"/>
      <c r="M53" s="205">
        <f>Saldobalance_Input!C48</f>
        <v>17637</v>
      </c>
      <c r="N53" s="135"/>
      <c r="O53" s="205">
        <f>Saldobalance_Input!F48</f>
        <v>16217</v>
      </c>
    </row>
    <row r="54" spans="2:15" ht="16.5" customHeight="1">
      <c r="B54" s="130" t="s">
        <v>162</v>
      </c>
      <c r="C54" s="135"/>
      <c r="D54" s="135"/>
      <c r="E54" s="135"/>
      <c r="F54" s="135"/>
      <c r="G54" s="135"/>
      <c r="H54" s="135"/>
      <c r="I54" s="135"/>
      <c r="J54" s="135"/>
      <c r="K54" s="135"/>
      <c r="L54" s="135"/>
      <c r="M54" s="205">
        <f>Saldobalance_Input!C49</f>
        <v>10750</v>
      </c>
      <c r="N54" s="135"/>
      <c r="O54" s="205">
        <f>Saldobalance_Input!F49</f>
        <v>10750</v>
      </c>
    </row>
    <row r="55" spans="2:15" ht="16.5" customHeight="1">
      <c r="B55" s="130" t="s">
        <v>308</v>
      </c>
      <c r="C55" s="135"/>
      <c r="D55" s="135"/>
      <c r="E55" s="135"/>
      <c r="F55" s="135"/>
      <c r="G55" s="135"/>
      <c r="H55" s="135"/>
      <c r="I55" s="135"/>
      <c r="J55" s="135"/>
      <c r="K55" s="135"/>
      <c r="L55" s="135"/>
      <c r="M55" s="205">
        <f>Saldobalance_Input!C50</f>
        <v>11523</v>
      </c>
      <c r="N55" s="135"/>
      <c r="O55" s="205">
        <f>Saldobalance_Input!F50</f>
        <v>11826</v>
      </c>
    </row>
    <row r="56" spans="2:15" ht="16.5" customHeight="1">
      <c r="B56" s="130" t="s">
        <v>163</v>
      </c>
      <c r="C56" s="135"/>
      <c r="D56" s="135"/>
      <c r="E56" s="135"/>
      <c r="F56" s="135"/>
      <c r="G56" s="135"/>
      <c r="H56" s="135"/>
      <c r="I56" s="135"/>
      <c r="J56" s="135"/>
      <c r="K56" s="135"/>
      <c r="L56" s="135"/>
      <c r="M56" s="205">
        <f>Saldobalance_Input!C51</f>
        <v>25634</v>
      </c>
      <c r="N56" s="135"/>
      <c r="O56" s="205">
        <f>Saldobalance_Input!F51</f>
        <v>24724</v>
      </c>
    </row>
    <row r="57" spans="2:15" ht="16.5" customHeight="1">
      <c r="B57" s="130" t="s">
        <v>153</v>
      </c>
      <c r="C57" s="135"/>
      <c r="D57" s="135"/>
      <c r="E57" s="135"/>
      <c r="F57" s="135"/>
      <c r="G57" s="135"/>
      <c r="H57" s="135"/>
      <c r="I57" s="135"/>
      <c r="J57" s="135"/>
      <c r="K57" s="135"/>
      <c r="L57" s="135"/>
      <c r="M57" s="205">
        <f>Saldobalance_Input!C52</f>
        <v>7324</v>
      </c>
      <c r="N57" s="135"/>
      <c r="O57" s="205">
        <f>Saldobalance_Input!F52</f>
        <v>7174</v>
      </c>
    </row>
    <row r="58" spans="2:15" ht="16.5" customHeight="1">
      <c r="B58" s="130" t="s">
        <v>164</v>
      </c>
      <c r="C58" s="135"/>
      <c r="D58" s="135"/>
      <c r="E58" s="135"/>
      <c r="F58" s="135"/>
      <c r="G58" s="135"/>
      <c r="H58" s="135"/>
      <c r="I58" s="135"/>
      <c r="J58" s="135"/>
      <c r="K58" s="135"/>
      <c r="L58" s="135"/>
      <c r="M58" s="205">
        <f>Saldobalance_Input!C53</f>
        <v>321</v>
      </c>
      <c r="N58" s="135"/>
      <c r="O58" s="205">
        <f>Saldobalance_Input!F53</f>
        <v>0</v>
      </c>
    </row>
    <row r="59" spans="2:15" ht="16.5" customHeight="1" thickBot="1">
      <c r="B59" s="130"/>
      <c r="C59" s="135"/>
      <c r="D59" s="135"/>
      <c r="E59" s="135"/>
      <c r="F59" s="135"/>
      <c r="G59" s="135"/>
      <c r="H59" s="135"/>
      <c r="I59" s="135"/>
      <c r="J59" s="135"/>
      <c r="K59" s="135"/>
      <c r="L59" s="135"/>
      <c r="M59" s="225">
        <f>SUM(M52:M58)</f>
        <v>105517</v>
      </c>
      <c r="N59" s="135"/>
      <c r="O59" s="225">
        <f>SUM(O52:O58)</f>
        <v>105253</v>
      </c>
    </row>
    <row r="60" spans="2:15" ht="16.5" customHeight="1" thickTop="1">
      <c r="B60" s="135"/>
      <c r="C60" s="135"/>
      <c r="D60" s="135"/>
      <c r="E60" s="135"/>
      <c r="F60" s="135"/>
      <c r="G60" s="135"/>
      <c r="H60" s="135"/>
      <c r="I60" s="135"/>
      <c r="J60" s="135"/>
      <c r="K60" s="135"/>
      <c r="L60" s="135"/>
      <c r="M60" s="135"/>
      <c r="N60" s="135"/>
      <c r="O60" s="135"/>
    </row>
    <row r="61" spans="2:15" ht="16.5" customHeight="1">
      <c r="B61" s="53" t="str">
        <f>"Note "&amp;Åregn!I18&amp;" - Personaleomkostninger"</f>
        <v>Note 5 - Personaleomkostninger</v>
      </c>
      <c r="C61" s="135"/>
      <c r="D61" s="135"/>
      <c r="E61" s="135"/>
      <c r="F61" s="135"/>
      <c r="G61" s="135"/>
      <c r="H61" s="135"/>
      <c r="I61" s="135"/>
      <c r="J61" s="135"/>
      <c r="K61" s="135"/>
      <c r="L61" s="135"/>
      <c r="M61" s="135"/>
      <c r="N61" s="135"/>
      <c r="O61" s="135"/>
    </row>
    <row r="62" spans="2:15" ht="16.5" customHeight="1">
      <c r="B62" s="135" t="s">
        <v>167</v>
      </c>
      <c r="C62" s="135"/>
      <c r="D62" s="135"/>
      <c r="E62" s="135"/>
      <c r="F62" s="135"/>
      <c r="G62" s="135"/>
      <c r="H62" s="135"/>
      <c r="I62" s="135"/>
      <c r="J62" s="135"/>
      <c r="K62" s="135"/>
      <c r="L62" s="135"/>
      <c r="M62" s="205">
        <f>Saldobalance_Input!C57</f>
        <v>869456</v>
      </c>
      <c r="N62" s="135"/>
      <c r="O62" s="205">
        <f>Saldobalance_Input!F57</f>
        <v>845324</v>
      </c>
    </row>
    <row r="63" spans="2:15" ht="16.5" customHeight="1">
      <c r="B63" s="135" t="s">
        <v>168</v>
      </c>
      <c r="C63" s="135"/>
      <c r="D63" s="135"/>
      <c r="E63" s="135"/>
      <c r="F63" s="135"/>
      <c r="G63" s="135"/>
      <c r="H63" s="135"/>
      <c r="I63" s="135"/>
      <c r="J63" s="135"/>
      <c r="K63" s="135"/>
      <c r="L63" s="135"/>
      <c r="M63" s="205">
        <f>Saldobalance_Input!C58</f>
        <v>8801</v>
      </c>
      <c r="N63" s="135"/>
      <c r="O63" s="205">
        <f>Saldobalance_Input!F58</f>
        <v>9926</v>
      </c>
    </row>
    <row r="64" spans="2:15" ht="16.5" customHeight="1">
      <c r="B64" s="130" t="s">
        <v>169</v>
      </c>
      <c r="C64" s="135"/>
      <c r="D64" s="135"/>
      <c r="E64" s="135"/>
      <c r="F64" s="135"/>
      <c r="G64" s="135"/>
      <c r="H64" s="135"/>
      <c r="I64" s="135"/>
      <c r="J64" s="135"/>
      <c r="K64" s="135"/>
      <c r="L64" s="135"/>
      <c r="M64" s="205">
        <f>-Saldobalance_Input!D59</f>
        <v>-4350</v>
      </c>
      <c r="N64" s="135"/>
      <c r="O64" s="205">
        <f>-Saldobalance_Input!G59</f>
        <v>-5998</v>
      </c>
    </row>
    <row r="65" spans="2:15" ht="16.5" customHeight="1">
      <c r="B65" s="130" t="s">
        <v>170</v>
      </c>
      <c r="C65" s="135"/>
      <c r="D65" s="135"/>
      <c r="E65" s="135"/>
      <c r="F65" s="135"/>
      <c r="G65" s="135"/>
      <c r="H65" s="135"/>
      <c r="I65" s="135"/>
      <c r="J65" s="135"/>
      <c r="K65" s="135"/>
      <c r="L65" s="135"/>
      <c r="M65" s="205">
        <f>Saldobalance_Input!C60</f>
        <v>13951</v>
      </c>
      <c r="N65" s="135"/>
      <c r="O65" s="205">
        <f>Saldobalance_Input!F60</f>
        <v>12174</v>
      </c>
    </row>
    <row r="66" spans="2:15" ht="16.5" customHeight="1">
      <c r="B66" s="130" t="s">
        <v>171</v>
      </c>
      <c r="C66" s="135"/>
      <c r="D66" s="135"/>
      <c r="E66" s="135"/>
      <c r="F66" s="135"/>
      <c r="G66" s="135"/>
      <c r="H66" s="135"/>
      <c r="I66" s="135"/>
      <c r="J66" s="135"/>
      <c r="K66" s="135"/>
      <c r="L66" s="135"/>
      <c r="M66" s="205">
        <f>Saldobalance_Input!C61</f>
        <v>51780</v>
      </c>
      <c r="N66" s="135"/>
      <c r="O66" s="205">
        <f>Saldobalance_Input!F61</f>
        <v>37098</v>
      </c>
    </row>
    <row r="67" spans="2:15" ht="16.5" customHeight="1">
      <c r="B67" s="130" t="s">
        <v>172</v>
      </c>
      <c r="C67" s="135"/>
      <c r="D67" s="135"/>
      <c r="E67" s="135"/>
      <c r="F67" s="135"/>
      <c r="G67" s="135"/>
      <c r="H67" s="135"/>
      <c r="I67" s="135"/>
      <c r="J67" s="135"/>
      <c r="K67" s="135"/>
      <c r="L67" s="135"/>
      <c r="M67" s="205">
        <f>Saldobalance_Input!C62</f>
        <v>11781</v>
      </c>
      <c r="N67" s="135"/>
      <c r="O67" s="205">
        <f>Saldobalance_Input!F62</f>
        <v>12385</v>
      </c>
    </row>
    <row r="68" spans="2:15" ht="16.5" customHeight="1">
      <c r="B68" s="130" t="s">
        <v>173</v>
      </c>
      <c r="C68" s="135"/>
      <c r="D68" s="135"/>
      <c r="E68" s="135"/>
      <c r="F68" s="135"/>
      <c r="G68" s="135"/>
      <c r="H68" s="135"/>
      <c r="I68" s="135"/>
      <c r="J68" s="135"/>
      <c r="K68" s="135"/>
      <c r="L68" s="135"/>
      <c r="M68" s="205">
        <f>Saldobalance_Input!C63</f>
        <v>24552</v>
      </c>
      <c r="N68" s="135"/>
      <c r="O68" s="205">
        <f>Saldobalance_Input!F63</f>
        <v>19054</v>
      </c>
    </row>
    <row r="69" spans="2:15" ht="16.5" customHeight="1" thickBot="1">
      <c r="B69" s="207"/>
      <c r="C69" s="135"/>
      <c r="D69" s="135"/>
      <c r="E69" s="135"/>
      <c r="F69" s="135"/>
      <c r="G69" s="135"/>
      <c r="H69" s="135"/>
      <c r="I69" s="135"/>
      <c r="J69" s="135"/>
      <c r="K69" s="135"/>
      <c r="L69" s="135"/>
      <c r="M69" s="225">
        <f>SUM(M62:M68)</f>
        <v>975971</v>
      </c>
      <c r="N69" s="135"/>
      <c r="O69" s="225">
        <f>SUM(O62:O68)</f>
        <v>929963</v>
      </c>
    </row>
    <row r="70" spans="2:15" ht="16.5" customHeight="1" thickTop="1">
      <c r="B70" s="135"/>
      <c r="C70" s="135"/>
      <c r="D70" s="135"/>
      <c r="E70" s="135"/>
      <c r="F70" s="135"/>
      <c r="G70" s="135"/>
      <c r="H70" s="135"/>
      <c r="I70" s="135"/>
      <c r="J70" s="135"/>
      <c r="K70" s="135"/>
      <c r="L70" s="135"/>
      <c r="M70" s="135"/>
      <c r="N70" s="135"/>
      <c r="O70" s="135"/>
    </row>
    <row r="71" spans="2:15" ht="16.5" customHeight="1">
      <c r="B71" s="207" t="str">
        <f>"Note "&amp;Åregn!I19&amp;" - Andre driftsomkostninger"</f>
        <v>Note 6 - Andre driftsomkostninger</v>
      </c>
      <c r="C71" s="135"/>
      <c r="D71" s="135"/>
      <c r="E71" s="135"/>
      <c r="F71" s="135"/>
      <c r="G71" s="135"/>
      <c r="H71" s="135"/>
      <c r="I71" s="135"/>
      <c r="J71" s="135"/>
      <c r="K71" s="135"/>
      <c r="L71" s="135"/>
      <c r="M71" s="135"/>
      <c r="N71" s="135"/>
      <c r="O71" s="135"/>
    </row>
    <row r="72" spans="2:15" ht="16.5" customHeight="1">
      <c r="B72" s="130" t="s">
        <v>309</v>
      </c>
      <c r="C72" s="135"/>
      <c r="D72" s="135"/>
      <c r="E72" s="135"/>
      <c r="F72" s="135"/>
      <c r="G72" s="135"/>
      <c r="H72" s="135"/>
      <c r="I72" s="135"/>
      <c r="J72" s="135"/>
      <c r="K72" s="135"/>
      <c r="L72" s="135"/>
      <c r="M72" s="205">
        <f>Saldobalance_Input!C67</f>
        <v>25343</v>
      </c>
      <c r="N72" s="135"/>
      <c r="O72" s="205">
        <f>Saldobalance_Input!F67</f>
        <v>0</v>
      </c>
    </row>
    <row r="73" spans="2:15" ht="16.5" customHeight="1" thickBot="1">
      <c r="B73" s="207"/>
      <c r="C73" s="135"/>
      <c r="D73" s="135"/>
      <c r="E73" s="135"/>
      <c r="F73" s="135"/>
      <c r="G73" s="135"/>
      <c r="H73" s="135"/>
      <c r="I73" s="135"/>
      <c r="J73" s="135"/>
      <c r="K73" s="135"/>
      <c r="L73" s="135"/>
      <c r="M73" s="225">
        <f>SUM(M72)</f>
        <v>25343</v>
      </c>
      <c r="N73" s="135"/>
      <c r="O73" s="225">
        <f>SUM(O72)</f>
        <v>0</v>
      </c>
    </row>
    <row r="74" spans="2:15" ht="16.5" customHeight="1" thickTop="1">
      <c r="B74" s="135"/>
      <c r="C74" s="135"/>
      <c r="D74" s="135"/>
      <c r="E74" s="135"/>
      <c r="F74" s="135"/>
      <c r="G74" s="135"/>
      <c r="H74" s="135"/>
      <c r="I74" s="135"/>
      <c r="J74" s="135"/>
      <c r="K74" s="135"/>
      <c r="L74" s="135"/>
      <c r="M74" s="135"/>
      <c r="N74" s="135"/>
      <c r="O74" s="135"/>
    </row>
    <row r="75" spans="2:15" ht="16.5" customHeight="1">
      <c r="B75" s="207" t="str">
        <f>"Note "&amp;Åregn!I22&amp;" - Afskrivninger på anlægsaktiver"</f>
        <v>Note 7 - Afskrivninger på anlægsaktiver</v>
      </c>
      <c r="C75" s="135"/>
      <c r="D75" s="135"/>
      <c r="E75" s="135"/>
      <c r="F75" s="135"/>
      <c r="G75" s="135"/>
      <c r="H75" s="135"/>
      <c r="I75" s="135"/>
      <c r="J75" s="135"/>
      <c r="K75" s="135"/>
      <c r="L75" s="135"/>
      <c r="M75" s="135"/>
      <c r="N75" s="135"/>
      <c r="O75" s="135"/>
    </row>
    <row r="76" spans="2:15" ht="16.5" customHeight="1">
      <c r="B76" s="135" t="s">
        <v>306</v>
      </c>
      <c r="C76" s="135"/>
      <c r="D76" s="135"/>
      <c r="E76" s="135"/>
      <c r="F76" s="135"/>
      <c r="G76" s="135"/>
      <c r="H76" s="135"/>
      <c r="I76" s="135"/>
      <c r="J76" s="135"/>
      <c r="K76" s="135"/>
      <c r="L76" s="135"/>
      <c r="M76" s="205">
        <f>Saldobalance_Input!C71</f>
        <v>0</v>
      </c>
      <c r="N76" s="135"/>
      <c r="O76" s="205">
        <f>Saldobalance_Input!F71</f>
        <v>0</v>
      </c>
    </row>
    <row r="77" spans="2:15" ht="16.5" customHeight="1">
      <c r="B77" s="130" t="s">
        <v>71</v>
      </c>
      <c r="C77" s="135"/>
      <c r="D77" s="135"/>
      <c r="E77" s="135"/>
      <c r="F77" s="135"/>
      <c r="G77" s="135"/>
      <c r="H77" s="135"/>
      <c r="I77" s="135"/>
      <c r="J77" s="135"/>
      <c r="K77" s="135"/>
      <c r="L77" s="135"/>
      <c r="M77" s="205">
        <f>Saldobalance_Input!C72</f>
        <v>40000</v>
      </c>
      <c r="N77" s="135"/>
      <c r="O77" s="205">
        <f>Saldobalance_Input!F72</f>
        <v>40000</v>
      </c>
    </row>
    <row r="78" spans="2:15" ht="16.5" customHeight="1">
      <c r="B78" s="130" t="s">
        <v>179</v>
      </c>
      <c r="C78" s="135"/>
      <c r="D78" s="135"/>
      <c r="E78" s="135"/>
      <c r="F78" s="135"/>
      <c r="G78" s="135"/>
      <c r="H78" s="135"/>
      <c r="I78" s="135"/>
      <c r="J78" s="135"/>
      <c r="K78" s="135"/>
      <c r="L78" s="135"/>
      <c r="M78" s="205">
        <f>Saldobalance_Input!C73</f>
        <v>26150</v>
      </c>
      <c r="N78" s="135"/>
      <c r="O78" s="205">
        <f>Saldobalance_Input!F73</f>
        <v>26150</v>
      </c>
    </row>
    <row r="79" spans="2:15" ht="16.5" customHeight="1">
      <c r="B79" s="130" t="s">
        <v>268</v>
      </c>
      <c r="C79" s="135"/>
      <c r="D79" s="135"/>
      <c r="E79" s="135"/>
      <c r="F79" s="135"/>
      <c r="G79" s="135"/>
      <c r="H79" s="135"/>
      <c r="I79" s="135"/>
      <c r="J79" s="135"/>
      <c r="K79" s="135"/>
      <c r="L79" s="135"/>
      <c r="M79" s="205">
        <f>Saldobalance_Input!C74</f>
        <v>25620</v>
      </c>
      <c r="N79" s="135"/>
      <c r="O79" s="205">
        <f>Saldobalance_Input!F74</f>
        <v>17751</v>
      </c>
    </row>
    <row r="80" spans="2:15" ht="16.5" customHeight="1" thickBot="1">
      <c r="B80" s="207"/>
      <c r="C80" s="135"/>
      <c r="D80" s="135"/>
      <c r="E80" s="135"/>
      <c r="F80" s="135"/>
      <c r="G80" s="135"/>
      <c r="H80" s="135"/>
      <c r="I80" s="135"/>
      <c r="J80" s="135"/>
      <c r="K80" s="135"/>
      <c r="L80" s="135"/>
      <c r="M80" s="225">
        <f>SUM(M76:M79)</f>
        <v>91770</v>
      </c>
      <c r="N80" s="135"/>
      <c r="O80" s="225">
        <f>SUM(O76:O79)</f>
        <v>83901</v>
      </c>
    </row>
    <row r="81" spans="2:15" ht="16.5" customHeight="1" thickTop="1">
      <c r="B81" s="135"/>
      <c r="C81" s="135"/>
      <c r="D81" s="135"/>
      <c r="E81" s="135"/>
      <c r="F81" s="135"/>
      <c r="G81" s="135"/>
      <c r="H81" s="135"/>
      <c r="I81" s="135"/>
      <c r="J81" s="135"/>
      <c r="K81" s="135"/>
      <c r="L81" s="135"/>
      <c r="M81" s="135"/>
      <c r="N81" s="135"/>
      <c r="O81" s="135"/>
    </row>
    <row r="82" spans="2:15" ht="12.75" customHeight="1">
      <c r="B82" s="434">
        <f>sideregn2+3</f>
        <v>12</v>
      </c>
      <c r="C82" s="434"/>
      <c r="D82" s="434"/>
      <c r="E82" s="434"/>
      <c r="F82" s="434"/>
      <c r="G82" s="434"/>
      <c r="H82" s="434"/>
      <c r="I82" s="434"/>
      <c r="J82" s="434"/>
      <c r="K82" s="434"/>
      <c r="L82" s="434"/>
      <c r="M82" s="434"/>
      <c r="N82" s="434"/>
      <c r="O82" s="434"/>
    </row>
    <row r="83" spans="2:15" ht="12.75" customHeight="1">
      <c r="B83" s="161"/>
      <c r="C83" s="161"/>
      <c r="D83" s="161"/>
      <c r="E83" s="161"/>
      <c r="F83" s="161"/>
      <c r="G83" s="161"/>
      <c r="H83" s="161"/>
      <c r="I83" s="161"/>
      <c r="J83" s="161"/>
      <c r="K83" s="161"/>
      <c r="L83" s="161"/>
      <c r="M83" s="161"/>
      <c r="N83" s="161"/>
      <c r="O83" s="161"/>
    </row>
    <row r="84" spans="2:15" ht="12.75" customHeight="1">
      <c r="B84" s="161"/>
      <c r="C84" s="161"/>
      <c r="D84" s="161"/>
      <c r="E84" s="161"/>
      <c r="F84" s="161"/>
      <c r="G84" s="161"/>
      <c r="H84" s="161"/>
      <c r="I84" s="161"/>
      <c r="J84" s="161"/>
      <c r="K84" s="161"/>
      <c r="L84" s="161"/>
      <c r="M84" s="161"/>
      <c r="N84" s="161"/>
      <c r="O84" s="161"/>
    </row>
    <row r="85" spans="2:15" ht="39" customHeight="1">
      <c r="B85" s="136" t="s">
        <v>318</v>
      </c>
      <c r="C85" s="161"/>
      <c r="D85" s="161"/>
      <c r="E85" s="161"/>
      <c r="F85" s="161"/>
      <c r="G85" s="161"/>
      <c r="H85" s="161"/>
      <c r="I85" s="161"/>
      <c r="J85" s="161"/>
      <c r="K85" s="161"/>
      <c r="L85" s="161"/>
      <c r="M85" s="161"/>
      <c r="N85" s="161"/>
      <c r="O85" s="161"/>
    </row>
    <row r="86" spans="2:15" ht="12.75" customHeight="1">
      <c r="B86" s="161"/>
      <c r="C86" s="161"/>
      <c r="D86" s="161"/>
      <c r="E86" s="161"/>
      <c r="F86" s="161"/>
      <c r="G86" s="161"/>
      <c r="H86" s="161"/>
      <c r="I86" s="161"/>
      <c r="J86" s="161"/>
      <c r="K86" s="161"/>
      <c r="L86" s="161"/>
      <c r="M86" s="161"/>
      <c r="N86" s="161"/>
      <c r="O86" s="161"/>
    </row>
    <row r="87" spans="2:15" ht="12.75" customHeight="1">
      <c r="B87" s="161"/>
      <c r="C87" s="161"/>
      <c r="D87" s="161"/>
      <c r="E87" s="161"/>
      <c r="F87" s="161"/>
      <c r="G87" s="161"/>
      <c r="H87" s="161"/>
      <c r="I87" s="161"/>
      <c r="J87" s="161"/>
      <c r="K87" s="161"/>
      <c r="L87" s="161"/>
      <c r="M87" s="161"/>
      <c r="N87" s="161"/>
      <c r="O87" s="161"/>
    </row>
    <row r="88" spans="2:15" ht="12.75" customHeight="1">
      <c r="B88" s="161"/>
      <c r="C88" s="161"/>
      <c r="D88" s="161"/>
      <c r="E88" s="161"/>
      <c r="F88" s="161"/>
      <c r="G88" s="161"/>
      <c r="H88" s="161"/>
      <c r="I88" s="161"/>
      <c r="J88" s="161"/>
      <c r="K88" s="161"/>
      <c r="L88" s="161"/>
      <c r="M88" s="161"/>
      <c r="N88" s="161"/>
      <c r="O88" s="161"/>
    </row>
    <row r="89" spans="2:15" ht="12.75" customHeight="1">
      <c r="B89" s="161"/>
      <c r="C89" s="161"/>
      <c r="D89" s="161"/>
      <c r="E89" s="161"/>
      <c r="F89" s="161"/>
      <c r="G89" s="161"/>
      <c r="H89" s="161"/>
      <c r="I89" s="161"/>
      <c r="J89" s="161"/>
      <c r="K89" s="161"/>
      <c r="L89" s="161"/>
      <c r="M89" s="161"/>
      <c r="N89" s="161"/>
      <c r="O89" s="161"/>
    </row>
    <row r="90" spans="2:15" ht="16.5" customHeight="1">
      <c r="B90" s="207" t="str">
        <f>"Note "&amp;Åregn!I25&amp;" - Finansielle indtægter"</f>
        <v>Note 8 - Finansielle indtægter</v>
      </c>
      <c r="C90" s="135"/>
      <c r="D90" s="135"/>
      <c r="E90" s="135"/>
      <c r="F90" s="135"/>
      <c r="G90" s="135"/>
      <c r="H90" s="135"/>
      <c r="I90" s="135"/>
      <c r="J90" s="135"/>
      <c r="K90" s="135"/>
      <c r="L90" s="135"/>
      <c r="M90" s="135"/>
      <c r="N90" s="135"/>
      <c r="O90" s="135"/>
    </row>
    <row r="91" spans="2:15" ht="16.5" customHeight="1">
      <c r="B91" s="130" t="s">
        <v>78</v>
      </c>
      <c r="C91" s="135"/>
      <c r="D91" s="135"/>
      <c r="E91" s="135"/>
      <c r="F91" s="135"/>
      <c r="G91" s="135"/>
      <c r="H91" s="135"/>
      <c r="I91" s="135"/>
      <c r="J91" s="135"/>
      <c r="K91" s="135"/>
      <c r="L91" s="135"/>
      <c r="M91" s="205">
        <f>Saldobalance_Input!D78</f>
        <v>6985</v>
      </c>
      <c r="N91" s="135"/>
      <c r="O91" s="205">
        <f>Saldobalance_Input!G78</f>
        <v>8126</v>
      </c>
    </row>
    <row r="92" spans="2:15" ht="16.5" customHeight="1">
      <c r="B92" s="130" t="s">
        <v>187</v>
      </c>
      <c r="C92" s="135"/>
      <c r="D92" s="135"/>
      <c r="E92" s="135"/>
      <c r="F92" s="135"/>
      <c r="G92" s="135"/>
      <c r="H92" s="135"/>
      <c r="I92" s="135"/>
      <c r="J92" s="135"/>
      <c r="K92" s="135"/>
      <c r="L92" s="135"/>
      <c r="M92" s="205">
        <f>Saldobalance_Input!D79</f>
        <v>4829</v>
      </c>
      <c r="N92" s="135"/>
      <c r="O92" s="205">
        <f>Saldobalance_Input!G79</f>
        <v>3084</v>
      </c>
    </row>
    <row r="93" spans="2:15" ht="16.5" customHeight="1" thickBot="1">
      <c r="B93" s="207"/>
      <c r="C93" s="135"/>
      <c r="D93" s="135"/>
      <c r="E93" s="135"/>
      <c r="F93" s="135"/>
      <c r="G93" s="135"/>
      <c r="H93" s="135"/>
      <c r="I93" s="135"/>
      <c r="J93" s="135"/>
      <c r="K93" s="135"/>
      <c r="L93" s="135"/>
      <c r="M93" s="225">
        <f>SUM(M91:M92)</f>
        <v>11814</v>
      </c>
      <c r="N93" s="135"/>
      <c r="O93" s="225">
        <f>SUM(O91:O92)</f>
        <v>11210</v>
      </c>
    </row>
    <row r="94" spans="2:15" ht="16.5" customHeight="1" thickTop="1">
      <c r="B94" s="135"/>
      <c r="C94" s="135"/>
      <c r="D94" s="135"/>
      <c r="E94" s="135"/>
      <c r="F94" s="135"/>
      <c r="G94" s="135"/>
      <c r="H94" s="135"/>
      <c r="I94" s="135"/>
      <c r="J94" s="135"/>
      <c r="K94" s="135"/>
      <c r="L94" s="135"/>
      <c r="M94" s="135"/>
      <c r="N94" s="135"/>
      <c r="O94" s="135"/>
    </row>
    <row r="95" spans="2:15" ht="16.5" customHeight="1">
      <c r="B95" s="207" t="str">
        <f>"Note "&amp;Åregn!I26&amp;" - Finansielle omkostninger"</f>
        <v>Note 9 - Finansielle omkostninger</v>
      </c>
      <c r="C95" s="135"/>
      <c r="D95" s="135"/>
      <c r="E95" s="135"/>
      <c r="F95" s="135"/>
      <c r="G95" s="135"/>
      <c r="H95" s="135"/>
      <c r="I95" s="135"/>
      <c r="J95" s="135"/>
      <c r="K95" s="135"/>
      <c r="L95" s="135"/>
      <c r="M95" s="135"/>
      <c r="N95" s="135"/>
      <c r="O95" s="135"/>
    </row>
    <row r="96" spans="2:15" ht="16.5" customHeight="1">
      <c r="B96" s="130" t="s">
        <v>186</v>
      </c>
      <c r="C96" s="161"/>
      <c r="D96" s="135"/>
      <c r="E96" s="135"/>
      <c r="F96" s="135"/>
      <c r="G96" s="135"/>
      <c r="H96" s="135"/>
      <c r="I96" s="135"/>
      <c r="J96" s="135"/>
      <c r="K96" s="135"/>
      <c r="L96" s="135"/>
      <c r="M96" s="205">
        <f>Saldobalance_Input!C83</f>
        <v>1903</v>
      </c>
      <c r="N96" s="135"/>
      <c r="O96" s="205">
        <f>Saldobalance_Input!F83</f>
        <v>3184</v>
      </c>
    </row>
    <row r="97" spans="2:15" ht="16.5" customHeight="1">
      <c r="B97" s="130" t="s">
        <v>81</v>
      </c>
      <c r="C97" s="135"/>
      <c r="D97" s="135"/>
      <c r="E97" s="135"/>
      <c r="F97" s="135"/>
      <c r="G97" s="135"/>
      <c r="H97" s="135"/>
      <c r="I97" s="135"/>
      <c r="J97" s="135"/>
      <c r="K97" s="135"/>
      <c r="L97" s="135"/>
      <c r="M97" s="205">
        <f>Saldobalance_Input!C84</f>
        <v>48273</v>
      </c>
      <c r="N97" s="135"/>
      <c r="O97" s="205">
        <f>Saldobalance_Input!F84</f>
        <v>51153</v>
      </c>
    </row>
    <row r="98" spans="2:15" ht="16.5" customHeight="1">
      <c r="B98" s="130" t="s">
        <v>310</v>
      </c>
      <c r="C98" s="135"/>
      <c r="D98" s="135"/>
      <c r="E98" s="135"/>
      <c r="F98" s="135"/>
      <c r="G98" s="135"/>
      <c r="H98" s="135"/>
      <c r="I98" s="135"/>
      <c r="J98" s="135"/>
      <c r="K98" s="135"/>
      <c r="L98" s="135"/>
      <c r="M98" s="205">
        <f>Saldobalance_Input!C85</f>
        <v>3160</v>
      </c>
      <c r="N98" s="135"/>
      <c r="O98" s="205">
        <f>Saldobalance_Input!F85</f>
        <v>2385</v>
      </c>
    </row>
    <row r="99" spans="2:15" ht="16.5" customHeight="1">
      <c r="B99" s="130" t="s">
        <v>188</v>
      </c>
      <c r="C99" s="135"/>
      <c r="D99" s="135"/>
      <c r="E99" s="135"/>
      <c r="F99" s="135"/>
      <c r="G99" s="135"/>
      <c r="H99" s="135"/>
      <c r="I99" s="135"/>
      <c r="J99" s="135"/>
      <c r="K99" s="135"/>
      <c r="L99" s="135"/>
      <c r="M99" s="205">
        <f>Saldobalance_Input!C86</f>
        <v>43470</v>
      </c>
      <c r="N99" s="135"/>
      <c r="O99" s="205">
        <f>Saldobalance_Input!F86</f>
        <v>38298</v>
      </c>
    </row>
    <row r="100" spans="2:15" ht="16.5" customHeight="1">
      <c r="B100" s="161" t="s">
        <v>219</v>
      </c>
      <c r="C100" s="161"/>
      <c r="D100" s="135"/>
      <c r="E100" s="135"/>
      <c r="F100" s="135"/>
      <c r="G100" s="135"/>
      <c r="H100" s="135"/>
      <c r="I100" s="135"/>
      <c r="J100" s="135"/>
      <c r="K100" s="135"/>
      <c r="L100" s="135"/>
      <c r="M100" s="205">
        <f>Saldobalance_Input!C87</f>
        <v>0</v>
      </c>
      <c r="N100" s="135"/>
      <c r="O100" s="205">
        <f>Saldobalance_Input!F87</f>
        <v>0</v>
      </c>
    </row>
    <row r="101" spans="2:15" ht="16.5" customHeight="1" thickBot="1">
      <c r="B101" s="207"/>
      <c r="C101" s="135"/>
      <c r="D101" s="135"/>
      <c r="E101" s="135"/>
      <c r="F101" s="135"/>
      <c r="G101" s="135"/>
      <c r="H101" s="135"/>
      <c r="I101" s="135"/>
      <c r="J101" s="135"/>
      <c r="K101" s="135"/>
      <c r="L101" s="135"/>
      <c r="M101" s="225">
        <f>SUM(M96:M100)</f>
        <v>96806</v>
      </c>
      <c r="N101" s="135"/>
      <c r="O101" s="225">
        <f>SUM(O96:O100)</f>
        <v>95020</v>
      </c>
    </row>
    <row r="102" spans="2:15" ht="16.5" customHeight="1" thickTop="1">
      <c r="B102" s="135"/>
      <c r="C102" s="135"/>
      <c r="D102" s="135"/>
      <c r="E102" s="135"/>
      <c r="F102" s="135"/>
      <c r="G102" s="135"/>
      <c r="H102" s="135"/>
      <c r="I102" s="135"/>
      <c r="J102" s="135"/>
      <c r="K102" s="135"/>
      <c r="L102" s="135"/>
      <c r="M102" s="135"/>
      <c r="N102" s="135"/>
      <c r="O102" s="135"/>
    </row>
    <row r="103" spans="2:15" ht="16.5" customHeight="1">
      <c r="B103" s="207" t="str">
        <f>"Note "&amp;Åregn!I48&amp;" - Anlægsaktiver"</f>
        <v>Note 10 - Anlægsaktiver</v>
      </c>
      <c r="C103" s="135"/>
      <c r="D103" s="135"/>
      <c r="E103" s="135"/>
      <c r="F103" s="135"/>
      <c r="G103" s="135"/>
      <c r="H103" s="135"/>
      <c r="I103" s="135"/>
      <c r="J103" s="135"/>
      <c r="K103" s="135"/>
      <c r="L103" s="135"/>
      <c r="M103" s="135"/>
      <c r="N103" s="135"/>
      <c r="O103" s="135"/>
    </row>
    <row r="104" spans="2:15" ht="38.25">
      <c r="B104" s="135"/>
      <c r="C104" s="135"/>
      <c r="D104" s="135"/>
      <c r="E104" s="135"/>
      <c r="F104" s="135"/>
      <c r="G104" s="135"/>
      <c r="H104" s="135"/>
      <c r="I104" s="214" t="s">
        <v>331</v>
      </c>
      <c r="J104" s="135"/>
      <c r="K104" s="214" t="s">
        <v>294</v>
      </c>
      <c r="L104" s="213"/>
      <c r="M104" s="214" t="s">
        <v>179</v>
      </c>
      <c r="N104" s="213"/>
      <c r="O104" s="214" t="s">
        <v>322</v>
      </c>
    </row>
    <row r="105" spans="2:15" ht="16.5" customHeight="1">
      <c r="B105" s="53" t="s">
        <v>311</v>
      </c>
      <c r="C105" s="135"/>
      <c r="D105" s="135"/>
      <c r="E105" s="135"/>
      <c r="F105" s="135"/>
      <c r="G105" s="135"/>
      <c r="H105" s="135"/>
      <c r="I105" s="205"/>
      <c r="J105" s="135"/>
      <c r="K105" s="135"/>
      <c r="L105" s="135"/>
      <c r="M105" s="135"/>
      <c r="N105" s="135"/>
      <c r="O105" s="135"/>
    </row>
    <row r="106" spans="2:15" ht="16.5" customHeight="1">
      <c r="B106" s="130" t="str">
        <f>"Saldo pr. "&amp;primodato</f>
        <v>Saldo pr. 1/1 2004</v>
      </c>
      <c r="C106" s="135"/>
      <c r="D106" s="135"/>
      <c r="E106" s="135"/>
      <c r="F106" s="135"/>
      <c r="G106" s="135"/>
      <c r="H106" s="135"/>
      <c r="I106" s="205">
        <f>Saldobalance_Input!C97</f>
        <v>0</v>
      </c>
      <c r="J106" s="135"/>
      <c r="K106" s="205">
        <f>Saldobalance_Input!C106</f>
        <v>1000000</v>
      </c>
      <c r="L106" s="135"/>
      <c r="M106" s="205">
        <f>Saldobalance_Input!C113</f>
        <v>130750</v>
      </c>
      <c r="N106" s="135"/>
      <c r="O106" s="205">
        <f>Saldobalance_Input!C120</f>
        <v>88753</v>
      </c>
    </row>
    <row r="107" spans="2:15" ht="16.5" customHeight="1">
      <c r="B107" s="130" t="s">
        <v>192</v>
      </c>
      <c r="C107" s="135"/>
      <c r="D107" s="135"/>
      <c r="E107" s="135"/>
      <c r="F107" s="135"/>
      <c r="G107" s="135"/>
      <c r="H107" s="135"/>
      <c r="I107" s="205">
        <f>Saldobalance_Input!C98</f>
        <v>0</v>
      </c>
      <c r="J107" s="135"/>
      <c r="K107" s="205">
        <f>Saldobalance_Input!C107</f>
        <v>0</v>
      </c>
      <c r="L107" s="135"/>
      <c r="M107" s="205">
        <f>Saldobalance_Input!C114</f>
        <v>0</v>
      </c>
      <c r="N107" s="135"/>
      <c r="O107" s="205">
        <f>Saldobalance_Input!C121</f>
        <v>91741</v>
      </c>
    </row>
    <row r="108" spans="2:15" ht="16.5" customHeight="1">
      <c r="B108" s="130" t="s">
        <v>323</v>
      </c>
      <c r="C108" s="135"/>
      <c r="D108" s="135"/>
      <c r="E108" s="135"/>
      <c r="F108" s="135"/>
      <c r="G108" s="135"/>
      <c r="H108" s="135"/>
      <c r="I108" s="205">
        <f>-Saldobalance_Input!D99</f>
        <v>0</v>
      </c>
      <c r="J108" s="135"/>
      <c r="K108" s="205">
        <f>-Saldobalance_Input!D108</f>
        <v>0</v>
      </c>
      <c r="L108" s="135"/>
      <c r="M108" s="205">
        <f>-Saldobalance_Input!D115</f>
        <v>0</v>
      </c>
      <c r="N108" s="135"/>
      <c r="O108" s="205">
        <f>-Saldobalance_Input!D122</f>
        <v>-52395</v>
      </c>
    </row>
    <row r="109" spans="2:15" ht="16.5" customHeight="1">
      <c r="B109" s="53" t="str">
        <f>"Anskaffelsessum pr. "&amp;ultimodato</f>
        <v>Anskaffelsessum pr. 31/12 2004</v>
      </c>
      <c r="C109" s="135"/>
      <c r="D109" s="135"/>
      <c r="E109" s="135"/>
      <c r="F109" s="135"/>
      <c r="G109" s="135"/>
      <c r="H109" s="135"/>
      <c r="I109" s="226">
        <f>SUM(I106:I108)</f>
        <v>0</v>
      </c>
      <c r="J109" s="135"/>
      <c r="K109" s="226">
        <f>SUM(K106:K108)</f>
        <v>1000000</v>
      </c>
      <c r="L109" s="135"/>
      <c r="M109" s="226">
        <f>SUM(M106:M108)</f>
        <v>130750</v>
      </c>
      <c r="N109" s="135"/>
      <c r="O109" s="226">
        <f>SUM(O106:O108)</f>
        <v>128099</v>
      </c>
    </row>
    <row r="110" spans="2:15" ht="16.5" customHeight="1">
      <c r="B110" s="135"/>
      <c r="C110" s="135"/>
      <c r="D110" s="135"/>
      <c r="E110" s="135"/>
      <c r="F110" s="135"/>
      <c r="G110" s="135"/>
      <c r="H110" s="135"/>
      <c r="I110" s="135"/>
      <c r="J110" s="135"/>
      <c r="K110" s="135"/>
      <c r="L110" s="135"/>
      <c r="M110" s="135"/>
      <c r="N110" s="135"/>
      <c r="O110" s="135"/>
    </row>
    <row r="111" spans="2:15" ht="16.5" customHeight="1">
      <c r="B111" s="53" t="s">
        <v>312</v>
      </c>
      <c r="C111" s="135"/>
      <c r="D111" s="135"/>
      <c r="E111" s="135"/>
      <c r="F111" s="135"/>
      <c r="G111" s="135"/>
      <c r="H111" s="135"/>
      <c r="I111" s="135"/>
      <c r="J111" s="135"/>
      <c r="K111" s="135"/>
      <c r="L111" s="135"/>
      <c r="M111" s="135"/>
      <c r="N111" s="135"/>
      <c r="O111" s="135"/>
    </row>
    <row r="112" spans="2:15" ht="16.5" customHeight="1">
      <c r="B112" s="130" t="str">
        <f>"Saldo pr. "&amp;primodato</f>
        <v>Saldo pr. 1/1 2004</v>
      </c>
      <c r="C112" s="135"/>
      <c r="D112" s="135"/>
      <c r="E112" s="135"/>
      <c r="F112" s="135"/>
      <c r="G112" s="135"/>
      <c r="H112" s="135"/>
      <c r="I112" s="205">
        <f>Saldobalance_Input!D100</f>
        <v>0</v>
      </c>
      <c r="J112" s="135"/>
      <c r="K112" s="205">
        <f>Saldobalance_Input!D109</f>
        <v>40000</v>
      </c>
      <c r="L112" s="135"/>
      <c r="M112" s="205">
        <f>Saldobalance_Input!D116</f>
        <v>52300</v>
      </c>
      <c r="N112" s="135"/>
      <c r="O112" s="205">
        <f>Saldobalance_Input!D123</f>
        <v>35502</v>
      </c>
    </row>
    <row r="113" spans="2:15" ht="16.5" customHeight="1">
      <c r="B113" s="130" t="s">
        <v>313</v>
      </c>
      <c r="C113" s="135"/>
      <c r="D113" s="135"/>
      <c r="E113" s="135"/>
      <c r="F113" s="135"/>
      <c r="G113" s="135"/>
      <c r="H113" s="135"/>
      <c r="I113" s="205">
        <f>Saldobalance_Input!D101</f>
        <v>0</v>
      </c>
      <c r="J113" s="135"/>
      <c r="K113" s="205">
        <f>Saldobalance_Input!D110</f>
        <v>40000</v>
      </c>
      <c r="L113" s="135"/>
      <c r="M113" s="205">
        <f>Saldobalance_Input!D117</f>
        <v>26150</v>
      </c>
      <c r="N113" s="135"/>
      <c r="O113" s="205">
        <f>Saldobalance_Input!D124</f>
        <v>25620</v>
      </c>
    </row>
    <row r="114" spans="2:15" ht="16.5" customHeight="1">
      <c r="B114" s="130" t="s">
        <v>312</v>
      </c>
      <c r="C114" s="135"/>
      <c r="D114" s="135"/>
      <c r="E114" s="135"/>
      <c r="F114" s="135"/>
      <c r="G114" s="135"/>
      <c r="H114" s="135"/>
      <c r="I114" s="205">
        <f>-Saldobalance_Input!C102</f>
        <v>0</v>
      </c>
      <c r="J114" s="135"/>
      <c r="K114" s="205">
        <f>-Saldobalance_Input!C111</f>
        <v>0</v>
      </c>
      <c r="L114" s="135"/>
      <c r="M114" s="205">
        <f>-Saldobalance_Input!C118</f>
        <v>0</v>
      </c>
      <c r="N114" s="135"/>
      <c r="O114" s="205">
        <f>-Saldobalance_Input!C125</f>
        <v>-20958</v>
      </c>
    </row>
    <row r="115" spans="2:15" ht="16.5" customHeight="1">
      <c r="B115" s="53" t="str">
        <f>"Afskrivninger pr. "&amp;ultimodato</f>
        <v>Afskrivninger pr. 31/12 2004</v>
      </c>
      <c r="C115" s="135"/>
      <c r="D115" s="135"/>
      <c r="E115" s="135"/>
      <c r="F115" s="135"/>
      <c r="G115" s="135"/>
      <c r="H115" s="135"/>
      <c r="I115" s="226">
        <f>SUM(I112:I114)</f>
        <v>0</v>
      </c>
      <c r="J115" s="135"/>
      <c r="K115" s="226">
        <f>SUM(K112:K114)</f>
        <v>80000</v>
      </c>
      <c r="L115" s="135"/>
      <c r="M115" s="226">
        <f>SUM(M112:M114)</f>
        <v>78450</v>
      </c>
      <c r="N115" s="135"/>
      <c r="O115" s="226">
        <f>SUM(O112:O114)</f>
        <v>40164</v>
      </c>
    </row>
    <row r="116" spans="2:15" ht="16.5" customHeight="1">
      <c r="B116" s="135"/>
      <c r="C116" s="135"/>
      <c r="D116" s="135"/>
      <c r="E116" s="135"/>
      <c r="F116" s="135"/>
      <c r="G116" s="135"/>
      <c r="H116" s="135"/>
      <c r="I116" s="135"/>
      <c r="J116" s="135"/>
      <c r="K116" s="135"/>
      <c r="L116" s="135"/>
      <c r="M116" s="135"/>
      <c r="N116" s="135"/>
      <c r="O116" s="135"/>
    </row>
    <row r="117" spans="2:15" ht="16.5" customHeight="1" thickBot="1">
      <c r="B117" s="53" t="str">
        <f>"Regnskabsmæssig værdi pr. "&amp;ultimodato</f>
        <v>Regnskabsmæssig værdi pr. 31/12 2004</v>
      </c>
      <c r="C117" s="135"/>
      <c r="D117" s="135"/>
      <c r="E117" s="135"/>
      <c r="F117" s="135"/>
      <c r="G117" s="135"/>
      <c r="H117" s="135"/>
      <c r="I117" s="227">
        <f>I109-I115</f>
        <v>0</v>
      </c>
      <c r="J117" s="135"/>
      <c r="K117" s="227">
        <f>K109-K115</f>
        <v>920000</v>
      </c>
      <c r="L117" s="135"/>
      <c r="M117" s="227">
        <f>M109-M115</f>
        <v>52300</v>
      </c>
      <c r="N117" s="135"/>
      <c r="O117" s="227">
        <f>O109-O115</f>
        <v>87935</v>
      </c>
    </row>
    <row r="118" spans="2:15" ht="16.5" customHeight="1" thickTop="1">
      <c r="B118" s="135"/>
      <c r="C118" s="135"/>
      <c r="D118" s="135"/>
      <c r="E118" s="135"/>
      <c r="F118" s="135"/>
      <c r="G118" s="135"/>
      <c r="H118" s="135"/>
      <c r="I118" s="135"/>
      <c r="J118" s="135"/>
      <c r="K118" s="135"/>
      <c r="L118" s="135"/>
      <c r="M118" s="135"/>
      <c r="N118" s="135"/>
      <c r="O118" s="135"/>
    </row>
    <row r="119" spans="2:15" ht="16.5" customHeight="1" thickBot="1">
      <c r="B119" s="135" t="str">
        <f>"Offentlig ejendomsvurdering pr. "&amp;primodato</f>
        <v>Offentlig ejendomsvurdering pr. 1/1 2004</v>
      </c>
      <c r="C119" s="135"/>
      <c r="D119" s="135"/>
      <c r="E119" s="135"/>
      <c r="F119" s="135"/>
      <c r="G119" s="135"/>
      <c r="H119" s="135"/>
      <c r="I119" s="135"/>
      <c r="J119" s="135"/>
      <c r="K119" s="228">
        <v>1000000</v>
      </c>
      <c r="L119" s="135"/>
      <c r="M119" s="135"/>
      <c r="N119" s="135"/>
      <c r="O119" s="135"/>
    </row>
    <row r="120" spans="2:15" ht="16.5" customHeight="1" thickTop="1">
      <c r="B120" s="135"/>
      <c r="C120" s="135"/>
      <c r="D120" s="135"/>
      <c r="E120" s="135"/>
      <c r="F120" s="135"/>
      <c r="G120" s="135"/>
      <c r="H120" s="135"/>
      <c r="I120" s="135"/>
      <c r="J120" s="135"/>
      <c r="K120" s="135"/>
      <c r="L120" s="135"/>
      <c r="M120" s="135"/>
      <c r="N120" s="135"/>
      <c r="O120" s="135"/>
    </row>
    <row r="121" spans="2:15" ht="12.75" customHeight="1">
      <c r="B121" s="434">
        <f>sideregn2+4</f>
        <v>13</v>
      </c>
      <c r="C121" s="434"/>
      <c r="D121" s="434"/>
      <c r="E121" s="434"/>
      <c r="F121" s="434"/>
      <c r="G121" s="434"/>
      <c r="H121" s="434"/>
      <c r="I121" s="434"/>
      <c r="J121" s="434"/>
      <c r="K121" s="434"/>
      <c r="L121" s="434"/>
      <c r="M121" s="434"/>
      <c r="N121" s="434"/>
      <c r="O121" s="434"/>
    </row>
    <row r="122" spans="2:15" ht="12.75" customHeight="1">
      <c r="B122" s="161"/>
      <c r="C122" s="161"/>
      <c r="D122" s="161"/>
      <c r="E122" s="161"/>
      <c r="F122" s="161"/>
      <c r="G122" s="161"/>
      <c r="H122" s="161"/>
      <c r="I122" s="161"/>
      <c r="J122" s="161"/>
      <c r="K122" s="161"/>
      <c r="L122" s="161"/>
      <c r="M122" s="161"/>
      <c r="N122" s="161"/>
      <c r="O122" s="161"/>
    </row>
    <row r="123" spans="2:15" ht="12.75" customHeight="1">
      <c r="B123" s="161"/>
      <c r="C123" s="161"/>
      <c r="D123" s="161"/>
      <c r="E123" s="161"/>
      <c r="F123" s="161"/>
      <c r="G123" s="161"/>
      <c r="H123" s="161"/>
      <c r="I123" s="161"/>
      <c r="J123" s="161"/>
      <c r="K123" s="161"/>
      <c r="L123" s="161"/>
      <c r="M123" s="161"/>
      <c r="N123" s="161"/>
      <c r="O123" s="161"/>
    </row>
    <row r="124" spans="2:15" ht="39" customHeight="1">
      <c r="B124" s="136" t="s">
        <v>318</v>
      </c>
      <c r="C124" s="161"/>
      <c r="D124" s="161"/>
      <c r="E124" s="161"/>
      <c r="F124" s="161"/>
      <c r="G124" s="161"/>
      <c r="H124" s="161"/>
      <c r="I124" s="161"/>
      <c r="J124" s="161"/>
      <c r="K124" s="161"/>
      <c r="L124" s="161"/>
      <c r="M124" s="161"/>
      <c r="N124" s="161"/>
      <c r="O124" s="161"/>
    </row>
    <row r="125" spans="2:15" ht="12.75" customHeight="1">
      <c r="B125" s="161"/>
      <c r="C125" s="161"/>
      <c r="D125" s="161"/>
      <c r="E125" s="161"/>
      <c r="F125" s="161"/>
      <c r="G125" s="161"/>
      <c r="H125" s="161"/>
      <c r="I125" s="161"/>
      <c r="J125" s="161"/>
      <c r="K125" s="161"/>
      <c r="L125" s="161"/>
      <c r="M125" s="161"/>
      <c r="N125" s="161"/>
      <c r="O125" s="161"/>
    </row>
    <row r="126" spans="2:15" ht="12.75" customHeight="1">
      <c r="B126" s="161"/>
      <c r="C126" s="161"/>
      <c r="D126" s="161"/>
      <c r="E126" s="161"/>
      <c r="F126" s="161"/>
      <c r="G126" s="161"/>
      <c r="H126" s="161"/>
      <c r="I126" s="161"/>
      <c r="J126" s="161"/>
      <c r="K126" s="161"/>
      <c r="L126" s="161"/>
      <c r="M126" s="161"/>
      <c r="N126" s="161"/>
      <c r="O126" s="161"/>
    </row>
    <row r="127" spans="2:15" ht="12.75" customHeight="1">
      <c r="B127" s="161"/>
      <c r="C127" s="161"/>
      <c r="D127" s="161"/>
      <c r="E127" s="161"/>
      <c r="F127" s="161"/>
      <c r="G127" s="161"/>
      <c r="H127" s="161"/>
      <c r="I127" s="161"/>
      <c r="J127" s="161"/>
      <c r="K127" s="161"/>
      <c r="L127" s="161"/>
      <c r="M127" s="161"/>
      <c r="N127" s="161"/>
      <c r="O127" s="161"/>
    </row>
    <row r="128" spans="2:15" ht="12.75" customHeight="1">
      <c r="B128" s="161"/>
      <c r="C128" s="161"/>
      <c r="D128" s="161"/>
      <c r="E128" s="161"/>
      <c r="F128" s="161"/>
      <c r="G128" s="161"/>
      <c r="H128" s="161"/>
      <c r="I128" s="161"/>
      <c r="J128" s="161"/>
      <c r="K128" s="161"/>
      <c r="L128" s="161"/>
      <c r="M128" s="161"/>
      <c r="N128" s="161"/>
      <c r="O128" s="161"/>
    </row>
    <row r="129" spans="2:15" ht="16.5" customHeight="1">
      <c r="B129" s="207" t="str">
        <f>"Note "&amp;Åregn!I51&amp;" - Tilgodehavender fra salg"</f>
        <v>Note 11 - Tilgodehavender fra salg</v>
      </c>
      <c r="C129" s="135"/>
      <c r="D129" s="135"/>
      <c r="E129" s="135"/>
      <c r="F129" s="135"/>
      <c r="G129" s="135"/>
      <c r="H129" s="135"/>
      <c r="I129" s="135"/>
      <c r="J129" s="135"/>
      <c r="K129" s="135"/>
      <c r="L129" s="135"/>
      <c r="M129" s="135"/>
      <c r="N129" s="135"/>
      <c r="O129" s="135"/>
    </row>
    <row r="130" spans="2:15" ht="16.5" customHeight="1">
      <c r="B130" s="130" t="s">
        <v>195</v>
      </c>
      <c r="C130" s="135"/>
      <c r="D130" s="135"/>
      <c r="E130" s="135"/>
      <c r="F130" s="135"/>
      <c r="G130" s="135"/>
      <c r="H130" s="135"/>
      <c r="I130" s="135"/>
      <c r="J130" s="135"/>
      <c r="K130" s="135"/>
      <c r="L130" s="135"/>
      <c r="M130" s="205">
        <f>Saldobalance_Input!C130</f>
        <v>313462</v>
      </c>
      <c r="N130" s="135"/>
      <c r="O130" s="205">
        <f>Saldobalance_Input!F130</f>
        <v>244272</v>
      </c>
    </row>
    <row r="131" spans="2:15" ht="16.5" customHeight="1">
      <c r="B131" s="130" t="s">
        <v>196</v>
      </c>
      <c r="C131" s="135"/>
      <c r="D131" s="135"/>
      <c r="E131" s="135"/>
      <c r="F131" s="135"/>
      <c r="G131" s="135"/>
      <c r="H131" s="135"/>
      <c r="I131" s="135"/>
      <c r="J131" s="135"/>
      <c r="K131" s="135"/>
      <c r="L131" s="135"/>
      <c r="M131" s="205">
        <f>-Saldobalance_Input!D131</f>
        <v>-50000</v>
      </c>
      <c r="N131" s="135"/>
      <c r="O131" s="205">
        <f>-Saldobalance_Input!G131</f>
        <v>-50000</v>
      </c>
    </row>
    <row r="132" spans="2:15" ht="16.5" customHeight="1" thickBot="1">
      <c r="B132" s="207"/>
      <c r="C132" s="135"/>
      <c r="D132" s="135"/>
      <c r="E132" s="135"/>
      <c r="F132" s="135"/>
      <c r="G132" s="135"/>
      <c r="H132" s="135"/>
      <c r="I132" s="135"/>
      <c r="J132" s="135"/>
      <c r="K132" s="135"/>
      <c r="L132" s="135"/>
      <c r="M132" s="225">
        <f>SUM(M130:M131)</f>
        <v>263462</v>
      </c>
      <c r="N132" s="135"/>
      <c r="O132" s="225">
        <f>SUM(O130:O131)</f>
        <v>194272</v>
      </c>
    </row>
    <row r="133" spans="2:15" ht="16.5" customHeight="1" thickTop="1">
      <c r="B133" s="135"/>
      <c r="C133" s="135"/>
      <c r="D133" s="135"/>
      <c r="E133" s="135"/>
      <c r="F133" s="135"/>
      <c r="G133" s="135"/>
      <c r="H133" s="135"/>
      <c r="I133" s="135"/>
      <c r="J133" s="135"/>
      <c r="K133" s="135"/>
      <c r="L133" s="135"/>
      <c r="M133" s="135"/>
      <c r="N133" s="135"/>
      <c r="O133" s="135"/>
    </row>
    <row r="134" spans="2:15" ht="16.5" customHeight="1">
      <c r="B134" s="53" t="str">
        <f>"Note "&amp;Åregn!I69&amp;" - Egenkapital"</f>
        <v>Note 12 - Egenkapital</v>
      </c>
      <c r="C134" s="135"/>
      <c r="D134" s="135"/>
      <c r="E134" s="135"/>
      <c r="F134" s="135"/>
      <c r="G134" s="135"/>
      <c r="H134" s="135"/>
      <c r="I134" s="135"/>
      <c r="J134" s="135"/>
      <c r="K134" s="135"/>
      <c r="L134" s="135"/>
      <c r="M134" s="135"/>
      <c r="N134" s="135"/>
      <c r="O134" s="135"/>
    </row>
    <row r="135" spans="2:15" ht="16.5" customHeight="1">
      <c r="B135" s="130" t="str">
        <f>IF(aps=TRUE,"Anpartskapital","Indskudskonto "&amp;ultimodato)</f>
        <v>Indskudskonto 31/12 2004</v>
      </c>
      <c r="C135" s="135"/>
      <c r="D135" s="135"/>
      <c r="E135" s="135"/>
      <c r="F135" s="135"/>
      <c r="G135" s="135"/>
      <c r="H135" s="135"/>
      <c r="I135" s="135"/>
      <c r="J135" s="135"/>
      <c r="K135" s="135"/>
      <c r="L135" s="135"/>
      <c r="M135" s="205">
        <f>Saldobalance_Input!D147</f>
        <v>47037</v>
      </c>
      <c r="N135" s="135"/>
      <c r="O135" s="205">
        <f>Saldobalance_Input!G147</f>
        <v>47037</v>
      </c>
    </row>
    <row r="136" spans="2:15" ht="16.5" customHeight="1">
      <c r="B136" s="130" t="str">
        <f>IF(aps=TRUE,"Overkurs ved emission","Overført overskud")</f>
        <v>Overført overskud</v>
      </c>
      <c r="C136" s="135"/>
      <c r="D136" s="135"/>
      <c r="E136" s="135"/>
      <c r="F136" s="135"/>
      <c r="G136" s="135"/>
      <c r="H136" s="135"/>
      <c r="I136" s="135"/>
      <c r="J136" s="135"/>
      <c r="K136" s="135"/>
      <c r="L136" s="135"/>
      <c r="M136" s="205">
        <f>Saldobalance_Input!D148</f>
        <v>120955</v>
      </c>
      <c r="N136" s="135"/>
      <c r="O136" s="205">
        <f>Saldobalance_Input!G148</f>
        <v>-459345</v>
      </c>
    </row>
    <row r="137" spans="2:15" ht="16.5" customHeight="1">
      <c r="B137" s="130" t="str">
        <f>IF(aps=TRUE,"Overført overskud tidligere år","Årets resultat")</f>
        <v>Årets resultat</v>
      </c>
      <c r="C137" s="135"/>
      <c r="D137" s="135"/>
      <c r="E137" s="135"/>
      <c r="F137" s="135"/>
      <c r="G137" s="135"/>
      <c r="H137" s="135"/>
      <c r="I137" s="135"/>
      <c r="J137" s="135"/>
      <c r="K137" s="135"/>
      <c r="L137" s="135"/>
      <c r="M137" s="205">
        <f>SUM(Saldobalance_Input!C149:D149)</f>
        <v>703142</v>
      </c>
      <c r="N137" s="135"/>
      <c r="O137" s="205">
        <f>SUM(Saldobalance_Input!F149:G149)</f>
        <v>580300</v>
      </c>
    </row>
    <row r="138" spans="2:15" ht="16.5" customHeight="1">
      <c r="B138" s="130" t="str">
        <f>IF(aps=TRUE,"Årets resultat","Hævet privat")</f>
        <v>Hævet privat</v>
      </c>
      <c r="C138" s="135"/>
      <c r="D138" s="135"/>
      <c r="E138" s="135"/>
      <c r="F138" s="135"/>
      <c r="G138" s="135"/>
      <c r="H138" s="135"/>
      <c r="I138" s="135"/>
      <c r="J138" s="135"/>
      <c r="K138" s="135"/>
      <c r="L138" s="135"/>
      <c r="M138" s="205">
        <f>-Saldobalance_Input!C150</f>
        <v>-200000</v>
      </c>
      <c r="N138" s="135"/>
      <c r="O138" s="205">
        <f>-Saldobalance_Input!F150</f>
        <v>0</v>
      </c>
    </row>
    <row r="139" spans="2:15" ht="16.5" customHeight="1">
      <c r="B139" s="130" t="str">
        <f>IF(aps=TRUE,"Foreslået udbytte for regnskabsåret","Mellemregning med indehaver")</f>
        <v>Mellemregning med indehaver</v>
      </c>
      <c r="C139" s="135"/>
      <c r="D139" s="135"/>
      <c r="E139" s="135"/>
      <c r="F139" s="135"/>
      <c r="G139" s="135"/>
      <c r="H139" s="135"/>
      <c r="I139" s="135"/>
      <c r="J139" s="135"/>
      <c r="K139" s="135"/>
      <c r="L139" s="135"/>
      <c r="M139" s="205">
        <f>Saldobalance_Input!D151</f>
        <v>3754</v>
      </c>
      <c r="N139" s="135"/>
      <c r="O139" s="205">
        <f>Saldobalance_Input!G151</f>
        <v>0</v>
      </c>
    </row>
    <row r="140" spans="2:15" ht="16.5" customHeight="1" thickBot="1">
      <c r="B140" s="53"/>
      <c r="C140" s="135"/>
      <c r="D140" s="135"/>
      <c r="E140" s="135"/>
      <c r="F140" s="135"/>
      <c r="G140" s="135"/>
      <c r="H140" s="135"/>
      <c r="I140" s="135"/>
      <c r="J140" s="135"/>
      <c r="K140" s="135"/>
      <c r="L140" s="135"/>
      <c r="M140" s="225">
        <f>SUM(M135:M139)</f>
        <v>674888</v>
      </c>
      <c r="N140" s="135"/>
      <c r="O140" s="225">
        <f>SUM(O135:O139)</f>
        <v>167992</v>
      </c>
    </row>
    <row r="141" spans="2:15" ht="16.5" customHeight="1" thickTop="1">
      <c r="B141" s="130"/>
      <c r="C141" s="135"/>
      <c r="D141" s="135"/>
      <c r="E141" s="135"/>
      <c r="F141" s="135"/>
      <c r="G141" s="135"/>
      <c r="H141" s="135"/>
      <c r="I141" s="135"/>
      <c r="J141" s="135"/>
      <c r="K141" s="135"/>
      <c r="L141" s="135"/>
      <c r="M141" s="135"/>
      <c r="N141" s="135"/>
      <c r="O141" s="135"/>
    </row>
    <row r="142" spans="2:15" ht="16.5" customHeight="1">
      <c r="B142" s="53" t="str">
        <f>"Note "&amp;Åregn!I74&amp;" - Prioritetsgæld"</f>
        <v>Note 13 - Prioritetsgæld</v>
      </c>
      <c r="C142" s="135"/>
      <c r="D142" s="135"/>
      <c r="E142" s="135"/>
      <c r="F142" s="135"/>
      <c r="G142" s="135"/>
      <c r="H142" s="135"/>
      <c r="I142" s="135"/>
      <c r="J142" s="135"/>
      <c r="K142" s="135"/>
      <c r="L142" s="135"/>
      <c r="M142" s="135"/>
      <c r="N142" s="135"/>
      <c r="O142" s="135"/>
    </row>
    <row r="143" spans="2:15" ht="16.5" customHeight="1">
      <c r="B143" s="53"/>
      <c r="C143" s="135"/>
      <c r="D143" s="135"/>
      <c r="E143" s="135"/>
      <c r="F143" s="135"/>
      <c r="G143" s="135"/>
      <c r="H143" s="135"/>
      <c r="I143" s="135"/>
      <c r="J143" s="135"/>
      <c r="K143" s="135"/>
      <c r="L143" s="135"/>
      <c r="M143" s="135">
        <f>raa1</f>
        <v>2004</v>
      </c>
      <c r="N143" s="135"/>
      <c r="O143" s="135">
        <f>raa0</f>
        <v>2003</v>
      </c>
    </row>
    <row r="144" spans="2:15" ht="16.5" customHeight="1">
      <c r="B144" s="135"/>
      <c r="C144" s="135"/>
      <c r="D144" s="135"/>
      <c r="E144" s="135"/>
      <c r="F144" s="135"/>
      <c r="G144" s="135"/>
      <c r="H144" s="135"/>
      <c r="I144" s="135"/>
      <c r="J144" s="135"/>
      <c r="K144" s="135"/>
      <c r="L144" s="135"/>
      <c r="M144" s="216" t="s">
        <v>314</v>
      </c>
      <c r="N144" s="215"/>
      <c r="O144" s="216" t="s">
        <v>314</v>
      </c>
    </row>
    <row r="145" spans="2:15" ht="16.5" customHeight="1">
      <c r="B145" s="135" t="s">
        <v>324</v>
      </c>
      <c r="C145" s="135"/>
      <c r="D145" s="135"/>
      <c r="E145" s="135"/>
      <c r="F145" s="135"/>
      <c r="G145" s="135"/>
      <c r="H145" s="135"/>
      <c r="I145" s="135"/>
      <c r="J145" s="135"/>
      <c r="K145" s="135"/>
      <c r="L145" s="135"/>
      <c r="M145" s="205">
        <f>Saldobalance_Input!D159</f>
        <v>723495</v>
      </c>
      <c r="N145" s="135"/>
      <c r="O145" s="205">
        <f>Saldobalance_Input!G159</f>
        <v>775173</v>
      </c>
    </row>
    <row r="146" spans="2:15" ht="16.5" customHeight="1">
      <c r="B146" s="130" t="s">
        <v>325</v>
      </c>
      <c r="C146" s="135"/>
      <c r="D146" s="135"/>
      <c r="E146" s="135"/>
      <c r="F146" s="135"/>
      <c r="G146" s="135"/>
      <c r="H146" s="135"/>
      <c r="I146" s="135"/>
      <c r="J146" s="135"/>
      <c r="K146" s="135"/>
      <c r="L146" s="135"/>
      <c r="M146" s="230">
        <f>Saldobalance_Input!D160</f>
        <v>170173</v>
      </c>
      <c r="N146" s="135"/>
      <c r="O146" s="230">
        <f>Saldobalance_Input!G160</f>
        <v>182328</v>
      </c>
    </row>
    <row r="147" spans="2:15" ht="16.5" customHeight="1">
      <c r="B147" s="135"/>
      <c r="C147" s="135"/>
      <c r="D147" s="135"/>
      <c r="E147" s="135"/>
      <c r="F147" s="135"/>
      <c r="G147" s="135"/>
      <c r="H147" s="135"/>
      <c r="I147" s="135"/>
      <c r="J147" s="135"/>
      <c r="K147" s="135"/>
      <c r="L147" s="135"/>
      <c r="M147" s="231">
        <f>SUM(M145:M146)</f>
        <v>893668</v>
      </c>
      <c r="N147" s="135"/>
      <c r="O147" s="231">
        <f>SUM(O145:O146)</f>
        <v>957501</v>
      </c>
    </row>
    <row r="148" spans="2:15" ht="16.5" customHeight="1">
      <c r="B148" s="135" t="s">
        <v>315</v>
      </c>
      <c r="C148" s="135"/>
      <c r="D148" s="135"/>
      <c r="E148" s="135"/>
      <c r="F148" s="135"/>
      <c r="G148" s="135"/>
      <c r="H148" s="135"/>
      <c r="I148" s="135"/>
      <c r="J148" s="135"/>
      <c r="K148" s="135"/>
      <c r="L148" s="135"/>
      <c r="M148" s="230">
        <f>-Saldobalance_Input!C161</f>
        <v>-62239</v>
      </c>
      <c r="N148" s="135"/>
      <c r="O148" s="230">
        <f>-Saldobalance_Input!F161</f>
        <v>-63833.4</v>
      </c>
    </row>
    <row r="149" spans="2:15" ht="16.5" customHeight="1" thickBot="1">
      <c r="B149" s="130" t="s">
        <v>300</v>
      </c>
      <c r="C149" s="135"/>
      <c r="D149" s="135"/>
      <c r="E149" s="135"/>
      <c r="F149" s="135"/>
      <c r="G149" s="135"/>
      <c r="H149" s="135"/>
      <c r="I149" s="135"/>
      <c r="J149" s="135"/>
      <c r="K149" s="135"/>
      <c r="L149" s="135"/>
      <c r="M149" s="225">
        <f>SUM(M147:M148)</f>
        <v>831429</v>
      </c>
      <c r="N149" s="135"/>
      <c r="O149" s="225">
        <f>SUM(O147:O148)</f>
        <v>893667.6</v>
      </c>
    </row>
    <row r="150" spans="2:15" ht="16.5" customHeight="1" thickTop="1">
      <c r="B150" s="135"/>
      <c r="C150" s="135"/>
      <c r="D150" s="135"/>
      <c r="E150" s="135"/>
      <c r="F150" s="135"/>
      <c r="G150" s="135"/>
      <c r="H150" s="135"/>
      <c r="I150" s="135"/>
      <c r="J150" s="135"/>
      <c r="K150" s="135"/>
      <c r="L150" s="135"/>
      <c r="M150" s="135"/>
      <c r="N150" s="135"/>
      <c r="O150" s="135"/>
    </row>
    <row r="151" spans="2:15" ht="16.5" customHeight="1">
      <c r="B151" s="53" t="str">
        <f>"Note "&amp;Åregn!I80&amp;" - Anden gæld"</f>
        <v>Note 14 - Anden gæld</v>
      </c>
      <c r="C151" s="135"/>
      <c r="D151" s="135"/>
      <c r="E151" s="135"/>
      <c r="F151" s="135"/>
      <c r="G151" s="135"/>
      <c r="H151" s="135"/>
      <c r="I151" s="135"/>
      <c r="J151" s="135"/>
      <c r="K151" s="135"/>
      <c r="L151" s="135"/>
      <c r="M151" s="135"/>
      <c r="N151" s="135"/>
      <c r="O151" s="135"/>
    </row>
    <row r="152" spans="2:15" ht="16.5" customHeight="1">
      <c r="B152" s="130" t="s">
        <v>332</v>
      </c>
      <c r="C152" s="135"/>
      <c r="D152" s="135"/>
      <c r="E152" s="135"/>
      <c r="F152" s="135"/>
      <c r="G152" s="135"/>
      <c r="H152" s="135"/>
      <c r="I152" s="135"/>
      <c r="J152" s="135"/>
      <c r="K152" s="135"/>
      <c r="L152" s="135"/>
      <c r="M152" s="205">
        <f>Saldobalance_Input!D172</f>
        <v>22936</v>
      </c>
      <c r="N152" s="135"/>
      <c r="O152" s="205">
        <f>Saldobalance_Input!G172</f>
        <v>23327</v>
      </c>
    </row>
    <row r="153" spans="2:15" ht="16.5" customHeight="1">
      <c r="B153" s="135" t="s">
        <v>316</v>
      </c>
      <c r="C153" s="135"/>
      <c r="D153" s="135"/>
      <c r="E153" s="135"/>
      <c r="F153" s="135"/>
      <c r="G153" s="135"/>
      <c r="H153" s="135"/>
      <c r="I153" s="135"/>
      <c r="J153" s="135"/>
      <c r="K153" s="135"/>
      <c r="L153" s="135"/>
      <c r="M153" s="205">
        <f>SUM(Saldobalance_Input!C183:D183)</f>
        <v>83424</v>
      </c>
      <c r="N153" s="135"/>
      <c r="O153" s="205">
        <f>SUM(Saldobalance_Input!F183:G183)</f>
        <v>76453</v>
      </c>
    </row>
    <row r="154" spans="2:15" ht="16.5" customHeight="1">
      <c r="B154" s="130" t="s">
        <v>333</v>
      </c>
      <c r="C154" s="135"/>
      <c r="D154" s="135"/>
      <c r="E154" s="135"/>
      <c r="F154" s="135"/>
      <c r="G154" s="135"/>
      <c r="H154" s="135"/>
      <c r="I154" s="135"/>
      <c r="J154" s="135"/>
      <c r="K154" s="135"/>
      <c r="L154" s="135"/>
      <c r="M154" s="205">
        <f>Saldobalance_Input!D173</f>
        <v>0</v>
      </c>
      <c r="N154" s="135"/>
      <c r="O154" s="205">
        <f>Saldobalance_Input!G173</f>
        <v>0</v>
      </c>
    </row>
    <row r="155" spans="2:15" ht="16.5" customHeight="1">
      <c r="B155" s="130" t="s">
        <v>220</v>
      </c>
      <c r="C155" s="135"/>
      <c r="D155" s="135"/>
      <c r="E155" s="135"/>
      <c r="F155" s="135"/>
      <c r="G155" s="135"/>
      <c r="H155" s="135"/>
      <c r="I155" s="135"/>
      <c r="J155" s="135"/>
      <c r="K155" s="135"/>
      <c r="L155" s="135"/>
      <c r="M155" s="205">
        <f>Saldobalance_Input!D171</f>
        <v>0</v>
      </c>
      <c r="N155" s="135"/>
      <c r="O155" s="205">
        <f>Saldobalance_Input!G171</f>
        <v>10836</v>
      </c>
    </row>
    <row r="156" spans="2:15" ht="16.5" customHeight="1">
      <c r="B156" s="130" t="s">
        <v>317</v>
      </c>
      <c r="C156" s="135"/>
      <c r="D156" s="135"/>
      <c r="E156" s="135"/>
      <c r="F156" s="135"/>
      <c r="G156" s="135"/>
      <c r="H156" s="135"/>
      <c r="I156" s="135"/>
      <c r="J156" s="135"/>
      <c r="K156" s="135"/>
      <c r="L156" s="135"/>
      <c r="M156" s="205">
        <f>Saldobalance_Input!D174</f>
        <v>42512</v>
      </c>
      <c r="N156" s="135"/>
      <c r="O156" s="205">
        <f>Saldobalance_Input!G174</f>
        <v>48273</v>
      </c>
    </row>
    <row r="157" spans="2:15" ht="16.5" customHeight="1">
      <c r="B157" s="130" t="s">
        <v>221</v>
      </c>
      <c r="C157" s="135"/>
      <c r="D157" s="135"/>
      <c r="E157" s="135"/>
      <c r="F157" s="135"/>
      <c r="G157" s="135"/>
      <c r="H157" s="135"/>
      <c r="I157" s="135"/>
      <c r="J157" s="135"/>
      <c r="K157" s="135"/>
      <c r="L157" s="135"/>
      <c r="M157" s="205">
        <f>Saldobalance_Input!D175</f>
        <v>2230</v>
      </c>
      <c r="N157" s="135"/>
      <c r="O157" s="205">
        <f>Saldobalance_Input!G175</f>
        <v>4023</v>
      </c>
    </row>
    <row r="158" spans="2:15" ht="16.5" customHeight="1" thickBot="1">
      <c r="B158" s="135"/>
      <c r="C158" s="135"/>
      <c r="D158" s="135"/>
      <c r="E158" s="135"/>
      <c r="F158" s="135"/>
      <c r="G158" s="135"/>
      <c r="H158" s="135"/>
      <c r="I158" s="135"/>
      <c r="J158" s="135"/>
      <c r="K158" s="135"/>
      <c r="L158" s="135"/>
      <c r="M158" s="225">
        <f>SUM(M152:M157)</f>
        <v>151102</v>
      </c>
      <c r="N158" s="135"/>
      <c r="O158" s="225">
        <f>SUM(O152:O157)</f>
        <v>162912</v>
      </c>
    </row>
    <row r="159" spans="2:15" ht="16.5" customHeight="1" thickTop="1">
      <c r="B159" s="212"/>
      <c r="C159" s="212"/>
      <c r="D159" s="212"/>
      <c r="E159" s="212"/>
      <c r="F159" s="212"/>
      <c r="G159" s="212"/>
      <c r="H159" s="212"/>
      <c r="I159" s="212"/>
      <c r="J159" s="212"/>
      <c r="K159" s="212"/>
      <c r="L159" s="212"/>
      <c r="M159" s="212"/>
      <c r="N159" s="212"/>
      <c r="O159" s="212"/>
    </row>
    <row r="160" spans="2:15" ht="16.5" customHeight="1">
      <c r="B160" s="212"/>
      <c r="C160" s="212"/>
      <c r="D160" s="212"/>
      <c r="E160" s="212"/>
      <c r="F160" s="212"/>
      <c r="G160" s="212"/>
      <c r="H160" s="212"/>
      <c r="I160" s="212"/>
      <c r="J160" s="212"/>
      <c r="K160" s="212"/>
      <c r="L160" s="212"/>
      <c r="M160" s="212"/>
      <c r="N160" s="212"/>
      <c r="O160" s="212"/>
    </row>
    <row r="161" spans="2:15" ht="16.5" customHeight="1">
      <c r="B161" s="212"/>
      <c r="C161" s="212"/>
      <c r="D161" s="212"/>
      <c r="E161" s="212"/>
      <c r="F161" s="212"/>
      <c r="G161" s="212"/>
      <c r="H161" s="212"/>
      <c r="I161" s="212"/>
      <c r="J161" s="212"/>
      <c r="K161" s="212"/>
      <c r="L161" s="212"/>
      <c r="M161" s="212"/>
      <c r="N161" s="212"/>
      <c r="O161" s="212"/>
    </row>
    <row r="162" spans="2:15" ht="16.5" customHeight="1">
      <c r="B162" s="212"/>
      <c r="C162" s="212"/>
      <c r="D162" s="212"/>
      <c r="E162" s="212"/>
      <c r="F162" s="212"/>
      <c r="G162" s="212"/>
      <c r="H162" s="212"/>
      <c r="I162" s="212"/>
      <c r="J162" s="212"/>
      <c r="K162" s="212"/>
      <c r="L162" s="212"/>
      <c r="M162" s="212"/>
      <c r="N162" s="212"/>
      <c r="O162" s="212"/>
    </row>
    <row r="163" spans="2:15" ht="16.5" customHeight="1">
      <c r="B163" s="212"/>
      <c r="C163" s="212"/>
      <c r="D163" s="212"/>
      <c r="E163" s="212"/>
      <c r="F163" s="212"/>
      <c r="G163" s="212"/>
      <c r="H163" s="212"/>
      <c r="I163" s="212"/>
      <c r="J163" s="212"/>
      <c r="K163" s="212"/>
      <c r="L163" s="212"/>
      <c r="M163" s="212"/>
      <c r="N163" s="212"/>
      <c r="O163" s="212"/>
    </row>
    <row r="164" spans="2:15" ht="16.5" customHeight="1">
      <c r="B164" s="212"/>
      <c r="C164" s="212"/>
      <c r="D164" s="212"/>
      <c r="E164" s="212"/>
      <c r="F164" s="212"/>
      <c r="G164" s="212"/>
      <c r="H164" s="212"/>
      <c r="I164" s="212"/>
      <c r="J164" s="212"/>
      <c r="K164" s="212"/>
      <c r="L164" s="212"/>
      <c r="M164" s="212"/>
      <c r="N164" s="212"/>
      <c r="O164" s="212"/>
    </row>
    <row r="165" spans="2:15" ht="16.5" customHeight="1">
      <c r="B165" s="212"/>
      <c r="C165" s="212"/>
      <c r="D165" s="212"/>
      <c r="E165" s="212"/>
      <c r="F165" s="212"/>
      <c r="G165" s="212"/>
      <c r="H165" s="212"/>
      <c r="I165" s="212"/>
      <c r="J165" s="212"/>
      <c r="K165" s="212"/>
      <c r="L165" s="212"/>
      <c r="M165" s="212"/>
      <c r="N165" s="212"/>
      <c r="O165" s="212"/>
    </row>
    <row r="166" spans="2:15" ht="16.5" customHeight="1">
      <c r="B166" s="212"/>
      <c r="C166" s="212"/>
      <c r="D166" s="212"/>
      <c r="E166" s="212"/>
      <c r="F166" s="212"/>
      <c r="G166" s="212"/>
      <c r="H166" s="212"/>
      <c r="I166" s="212"/>
      <c r="J166" s="212"/>
      <c r="K166" s="212"/>
      <c r="L166" s="212"/>
      <c r="M166" s="212"/>
      <c r="N166" s="212"/>
      <c r="O166" s="212"/>
    </row>
    <row r="167" spans="2:15" ht="16.5" customHeight="1">
      <c r="B167" s="212"/>
      <c r="C167" s="212"/>
      <c r="D167" s="212"/>
      <c r="E167" s="212"/>
      <c r="F167" s="212"/>
      <c r="G167" s="212"/>
      <c r="H167" s="212"/>
      <c r="I167" s="212"/>
      <c r="J167" s="212"/>
      <c r="K167" s="212"/>
      <c r="L167" s="212"/>
      <c r="M167" s="212"/>
      <c r="N167" s="212"/>
      <c r="O167" s="212"/>
    </row>
    <row r="168" spans="2:15" ht="16.5" customHeight="1">
      <c r="B168" s="212"/>
      <c r="C168" s="212"/>
      <c r="D168" s="212"/>
      <c r="E168" s="212"/>
      <c r="F168" s="212"/>
      <c r="G168" s="212"/>
      <c r="H168" s="212"/>
      <c r="I168" s="212"/>
      <c r="J168" s="212"/>
      <c r="K168" s="212"/>
      <c r="L168" s="212"/>
      <c r="M168" s="212"/>
      <c r="N168" s="212"/>
      <c r="O168" s="212"/>
    </row>
    <row r="169" spans="2:15" ht="16.5" customHeight="1">
      <c r="B169" s="212"/>
      <c r="C169" s="212"/>
      <c r="D169" s="212"/>
      <c r="E169" s="212"/>
      <c r="F169" s="212"/>
      <c r="G169" s="212"/>
      <c r="H169" s="212"/>
      <c r="I169" s="212"/>
      <c r="J169" s="212"/>
      <c r="K169" s="212"/>
      <c r="L169" s="212"/>
      <c r="M169" s="212"/>
      <c r="N169" s="212"/>
      <c r="O169" s="212"/>
    </row>
    <row r="170" spans="2:15" ht="16.5" customHeight="1">
      <c r="B170" s="212"/>
      <c r="C170" s="212"/>
      <c r="D170" s="212"/>
      <c r="E170" s="212"/>
      <c r="F170" s="212"/>
      <c r="G170" s="212"/>
      <c r="H170" s="212"/>
      <c r="I170" s="212"/>
      <c r="J170" s="212"/>
      <c r="K170" s="212"/>
      <c r="L170" s="212"/>
      <c r="M170" s="212"/>
      <c r="N170" s="212"/>
      <c r="O170" s="212"/>
    </row>
    <row r="171" spans="2:15" ht="16.5" customHeight="1">
      <c r="B171" s="212"/>
      <c r="C171" s="212"/>
      <c r="D171" s="212"/>
      <c r="E171" s="212"/>
      <c r="F171" s="212"/>
      <c r="G171" s="212"/>
      <c r="H171" s="212"/>
      <c r="I171" s="212"/>
      <c r="J171" s="212"/>
      <c r="K171" s="212"/>
      <c r="L171" s="212"/>
      <c r="M171" s="212"/>
      <c r="N171" s="212"/>
      <c r="O171" s="212"/>
    </row>
    <row r="172" spans="2:15" ht="16.5" customHeight="1">
      <c r="B172" s="212"/>
      <c r="C172" s="212"/>
      <c r="D172" s="212"/>
      <c r="E172" s="212"/>
      <c r="F172" s="212"/>
      <c r="G172" s="212"/>
      <c r="H172" s="212"/>
      <c r="I172" s="212"/>
      <c r="J172" s="212"/>
      <c r="K172" s="212"/>
      <c r="L172" s="212"/>
      <c r="M172" s="212"/>
      <c r="N172" s="212"/>
      <c r="O172" s="212"/>
    </row>
    <row r="173" spans="2:15" ht="16.5" customHeight="1">
      <c r="B173" s="212"/>
      <c r="C173" s="212"/>
      <c r="D173" s="212"/>
      <c r="E173" s="212"/>
      <c r="F173" s="212"/>
      <c r="G173" s="212"/>
      <c r="H173" s="212"/>
      <c r="I173" s="212"/>
      <c r="J173" s="212"/>
      <c r="K173" s="212"/>
      <c r="L173" s="212"/>
      <c r="M173" s="212"/>
      <c r="N173" s="212"/>
      <c r="O173" s="212"/>
    </row>
    <row r="174" spans="2:15" ht="16.5" customHeight="1">
      <c r="B174" s="212"/>
      <c r="C174" s="212"/>
      <c r="D174" s="212"/>
      <c r="E174" s="212"/>
      <c r="F174" s="212"/>
      <c r="G174" s="212"/>
      <c r="H174" s="212"/>
      <c r="I174" s="212"/>
      <c r="J174" s="212"/>
      <c r="K174" s="212"/>
      <c r="L174" s="212"/>
      <c r="M174" s="212"/>
      <c r="N174" s="212"/>
      <c r="O174" s="212"/>
    </row>
    <row r="175" spans="2:15" ht="16.5" customHeight="1">
      <c r="B175" s="212"/>
      <c r="C175" s="212"/>
      <c r="D175" s="212"/>
      <c r="E175" s="212"/>
      <c r="F175" s="212"/>
      <c r="G175" s="212"/>
      <c r="H175" s="212"/>
      <c r="I175" s="212"/>
      <c r="J175" s="212"/>
      <c r="K175" s="212"/>
      <c r="L175" s="212"/>
      <c r="M175" s="212"/>
      <c r="N175" s="212"/>
      <c r="O175" s="212"/>
    </row>
    <row r="176" spans="2:15" ht="16.5" customHeight="1">
      <c r="B176" s="212"/>
      <c r="C176" s="212"/>
      <c r="D176" s="212"/>
      <c r="E176" s="212"/>
      <c r="F176" s="212"/>
      <c r="G176" s="212"/>
      <c r="H176" s="212"/>
      <c r="I176" s="212"/>
      <c r="J176" s="212"/>
      <c r="K176" s="212"/>
      <c r="L176" s="212"/>
      <c r="M176" s="212"/>
      <c r="N176" s="212"/>
      <c r="O176" s="212"/>
    </row>
    <row r="177" spans="2:15" ht="16.5" customHeight="1">
      <c r="B177" s="212"/>
      <c r="C177" s="212"/>
      <c r="D177" s="212"/>
      <c r="E177" s="212"/>
      <c r="F177" s="212"/>
      <c r="G177" s="212"/>
      <c r="H177" s="212"/>
      <c r="I177" s="212"/>
      <c r="J177" s="212"/>
      <c r="K177" s="212"/>
      <c r="L177" s="212"/>
      <c r="M177" s="212"/>
      <c r="N177" s="212"/>
      <c r="O177" s="212"/>
    </row>
    <row r="178" spans="2:15" ht="16.5" customHeight="1">
      <c r="B178" s="212"/>
      <c r="C178" s="212"/>
      <c r="D178" s="212"/>
      <c r="E178" s="212"/>
      <c r="F178" s="212"/>
      <c r="G178" s="212"/>
      <c r="H178" s="212"/>
      <c r="I178" s="212"/>
      <c r="J178" s="212"/>
      <c r="K178" s="212"/>
      <c r="L178" s="212"/>
      <c r="M178" s="212"/>
      <c r="N178" s="212"/>
      <c r="O178" s="212"/>
    </row>
    <row r="179" spans="2:15" ht="16.5" customHeight="1">
      <c r="B179" s="212"/>
      <c r="C179" s="212"/>
      <c r="D179" s="212"/>
      <c r="E179" s="212"/>
      <c r="F179" s="212"/>
      <c r="G179" s="212"/>
      <c r="H179" s="212"/>
      <c r="I179" s="212"/>
      <c r="J179" s="212"/>
      <c r="K179" s="212"/>
      <c r="L179" s="212"/>
      <c r="M179" s="212"/>
      <c r="N179" s="212"/>
      <c r="O179" s="212"/>
    </row>
    <row r="180" spans="2:15" ht="16.5" customHeight="1">
      <c r="B180" s="212"/>
      <c r="C180" s="212"/>
      <c r="D180" s="212"/>
      <c r="E180" s="212"/>
      <c r="F180" s="212"/>
      <c r="G180" s="212"/>
      <c r="H180" s="212"/>
      <c r="I180" s="212"/>
      <c r="J180" s="212"/>
      <c r="K180" s="212"/>
      <c r="L180" s="212"/>
      <c r="M180" s="212"/>
      <c r="N180" s="212"/>
      <c r="O180" s="212"/>
    </row>
    <row r="181" spans="2:15" ht="16.5" customHeight="1">
      <c r="B181" s="212"/>
      <c r="C181" s="212"/>
      <c r="D181" s="212"/>
      <c r="E181" s="212"/>
      <c r="F181" s="212"/>
      <c r="G181" s="212"/>
      <c r="H181" s="212"/>
      <c r="I181" s="212"/>
      <c r="J181" s="212"/>
      <c r="K181" s="212"/>
      <c r="L181" s="212"/>
      <c r="M181" s="212"/>
      <c r="N181" s="212"/>
      <c r="O181" s="212"/>
    </row>
    <row r="182" spans="2:15" ht="16.5" customHeight="1">
      <c r="B182" s="212"/>
      <c r="C182" s="212"/>
      <c r="D182" s="212"/>
      <c r="E182" s="212"/>
      <c r="F182" s="212"/>
      <c r="G182" s="212"/>
      <c r="H182" s="212"/>
      <c r="I182" s="212"/>
      <c r="J182" s="212"/>
      <c r="K182" s="212"/>
      <c r="L182" s="212"/>
      <c r="M182" s="212"/>
      <c r="N182" s="212"/>
      <c r="O182" s="212"/>
    </row>
    <row r="183" spans="2:15" ht="16.5" customHeight="1">
      <c r="B183" s="212"/>
      <c r="C183" s="212"/>
      <c r="D183" s="212"/>
      <c r="E183" s="212"/>
      <c r="F183" s="212"/>
      <c r="G183" s="212"/>
      <c r="H183" s="212"/>
      <c r="I183" s="212"/>
      <c r="J183" s="212"/>
      <c r="K183" s="212"/>
      <c r="L183" s="212"/>
      <c r="M183" s="212"/>
      <c r="N183" s="212"/>
      <c r="O183" s="212"/>
    </row>
    <row r="184" spans="2:15" ht="16.5" customHeight="1">
      <c r="B184" s="212"/>
      <c r="C184" s="212"/>
      <c r="D184" s="212"/>
      <c r="E184" s="212"/>
      <c r="F184" s="212"/>
      <c r="G184" s="212"/>
      <c r="H184" s="212"/>
      <c r="I184" s="212"/>
      <c r="J184" s="212"/>
      <c r="K184" s="212"/>
      <c r="L184" s="212"/>
      <c r="M184" s="212"/>
      <c r="N184" s="212"/>
      <c r="O184" s="212"/>
    </row>
    <row r="185" spans="2:15" ht="16.5" customHeight="1">
      <c r="B185" s="212"/>
      <c r="C185" s="212"/>
      <c r="D185" s="212"/>
      <c r="E185" s="212"/>
      <c r="F185" s="212"/>
      <c r="G185" s="212"/>
      <c r="H185" s="212"/>
      <c r="I185" s="212"/>
      <c r="J185" s="212"/>
      <c r="K185" s="212"/>
      <c r="L185" s="212"/>
      <c r="M185" s="212"/>
      <c r="N185" s="212"/>
      <c r="O185" s="212"/>
    </row>
    <row r="186" spans="2:15" ht="16.5" customHeight="1">
      <c r="B186" s="212"/>
      <c r="C186" s="212"/>
      <c r="D186" s="212"/>
      <c r="E186" s="212"/>
      <c r="F186" s="212"/>
      <c r="G186" s="212"/>
      <c r="H186" s="212"/>
      <c r="I186" s="212"/>
      <c r="J186" s="212"/>
      <c r="K186" s="212"/>
      <c r="L186" s="212"/>
      <c r="M186" s="212"/>
      <c r="N186" s="212"/>
      <c r="O186" s="212"/>
    </row>
    <row r="187" spans="2:15" ht="16.5" customHeight="1">
      <c r="B187" s="212"/>
      <c r="C187" s="212"/>
      <c r="D187" s="212"/>
      <c r="E187" s="212"/>
      <c r="F187" s="212"/>
      <c r="G187" s="212"/>
      <c r="H187" s="212"/>
      <c r="I187" s="212"/>
      <c r="J187" s="212"/>
      <c r="K187" s="212"/>
      <c r="L187" s="212"/>
      <c r="M187" s="212"/>
      <c r="N187" s="212"/>
      <c r="O187" s="212"/>
    </row>
  </sheetData>
  <mergeCells count="4">
    <mergeCell ref="B2:O2"/>
    <mergeCell ref="B43:O43"/>
    <mergeCell ref="B82:O82"/>
    <mergeCell ref="B121:O121"/>
  </mergeCells>
  <printOptions/>
  <pageMargins left="0.984251968503937" right="0.3937007874015748" top="0.3937007874015748" bottom="0.3937007874015748" header="0" footer="0"/>
  <pageSetup horizontalDpi="600" verticalDpi="600" orientation="portrait" paperSize="9" r:id="rId1"/>
  <rowBreaks count="3" manualBreakCount="3">
    <brk id="42" max="255" man="1"/>
    <brk id="81" max="255" man="1"/>
    <brk id="120" max="255" man="1"/>
  </rowBreaks>
  <ignoredErrors>
    <ignoredError sqref="M148 O148" formula="1"/>
  </ignoredErrors>
</worksheet>
</file>

<file path=xl/worksheets/sheet14.xml><?xml version="1.0" encoding="utf-8"?>
<worksheet xmlns="http://schemas.openxmlformats.org/spreadsheetml/2006/main" xmlns:r="http://schemas.openxmlformats.org/officeDocument/2006/relationships">
  <sheetPr codeName="Ark9"/>
  <dimension ref="B2:B29"/>
  <sheetViews>
    <sheetView showGridLines="0" showRowColHeaders="0" workbookViewId="0" topLeftCell="A1">
      <selection activeCell="A1" sqref="A1"/>
    </sheetView>
  </sheetViews>
  <sheetFormatPr defaultColWidth="9.140625" defaultRowHeight="16.5" customHeight="1"/>
  <cols>
    <col min="1" max="1" width="7.7109375" style="1" customWidth="1"/>
    <col min="2" max="2" width="87.7109375" style="1" customWidth="1"/>
    <col min="3" max="16384" width="9.140625" style="1" customWidth="1"/>
  </cols>
  <sheetData>
    <row r="1" ht="12.75" customHeight="1"/>
    <row r="2" ht="12.75" customHeight="1">
      <c r="B2" s="161">
        <f>sidenote4+1</f>
        <v>14</v>
      </c>
    </row>
    <row r="3" ht="12.75" customHeight="1">
      <c r="B3" s="161"/>
    </row>
    <row r="4" ht="12.75" customHeight="1">
      <c r="B4" s="161"/>
    </row>
    <row r="5" ht="39" customHeight="1">
      <c r="B5" s="136" t="s">
        <v>318</v>
      </c>
    </row>
    <row r="6" ht="12.75" customHeight="1">
      <c r="B6" s="161"/>
    </row>
    <row r="7" ht="12.75" customHeight="1">
      <c r="B7" s="161"/>
    </row>
    <row r="8" ht="12.75" customHeight="1">
      <c r="B8" s="161"/>
    </row>
    <row r="9" ht="12.75" customHeight="1">
      <c r="B9" s="161"/>
    </row>
    <row r="10" ht="16.5" customHeight="1">
      <c r="B10" s="53" t="str">
        <f>"Note "&amp;Åregn!I85&amp;" - Eventualposter mv."</f>
        <v>Note 15 - Eventualposter mv.</v>
      </c>
    </row>
    <row r="11" ht="25.5">
      <c r="B11" s="192" t="str">
        <f>evt1</f>
        <v>Til sikkerhed for gæld til realkreditinstitutter, XXX tkr., er der givet pant i grunde og bygninger, hvis regnskabsmæssige værdi pr. 31. december 2004 udgør XXX tkr.</v>
      </c>
    </row>
    <row r="12" ht="16.5" customHeight="1">
      <c r="B12" s="190"/>
    </row>
    <row r="13" ht="25.5">
      <c r="B13" s="192" t="str">
        <f>evt2</f>
        <v>Ved realisering af virksomhedens aktiver og forpligtelser til regnskabsmæssig værdi kan ved en skattesats på 60% beregnes en udskudt skatteforpligtelse, der påhviler virksomhedens aktiver og forpligtelser på i alt ca. XX t.kr.</v>
      </c>
    </row>
    <row r="14" ht="16.5" customHeight="1">
      <c r="B14" s="190"/>
    </row>
    <row r="15" ht="16.5" customHeight="1">
      <c r="B15" s="207" t="str">
        <f>"Note "&amp;Åregn!I86&amp;" - Pantsætninger og sikkerhedsstillelser"</f>
        <v>Note 16 - Pantsætninger og sikkerhedsstillelser</v>
      </c>
    </row>
    <row r="16" ht="38.25">
      <c r="B16" s="192" t="str">
        <f>pant1</f>
        <v>Til sikkerhed for gæld til realkreditinstitutter, XXX t.kr., er der givet pant i grund og bygninger, hvis regnskabsmæssige værdi pr. 31. december 2004 udgør i alt XXX t.kr.
</v>
      </c>
    </row>
    <row r="17" ht="16.5" customHeight="1">
      <c r="B17" s="190"/>
    </row>
    <row r="18" ht="12.75">
      <c r="B18" s="192" t="str">
        <f>pant2</f>
        <v>Til sikkerhed for kassekredit er afgivet løsørepantebreve, XXX t.kr., i biler og i inventar mv.</v>
      </c>
    </row>
    <row r="19" ht="16.5" customHeight="1">
      <c r="B19" s="190"/>
    </row>
    <row r="20" ht="16.5" customHeight="1">
      <c r="B20" s="190"/>
    </row>
    <row r="21" ht="16.5" customHeight="1">
      <c r="B21" s="190"/>
    </row>
    <row r="22" ht="16.5" customHeight="1">
      <c r="B22" s="190"/>
    </row>
    <row r="23" ht="16.5" customHeight="1">
      <c r="B23" s="190"/>
    </row>
    <row r="24" ht="16.5" customHeight="1">
      <c r="B24" s="161"/>
    </row>
    <row r="25" ht="16.5" customHeight="1">
      <c r="B25" s="161"/>
    </row>
    <row r="26" ht="16.5" customHeight="1">
      <c r="B26" s="161"/>
    </row>
    <row r="27" ht="16.5" customHeight="1">
      <c r="B27" s="161"/>
    </row>
    <row r="28" ht="16.5" customHeight="1">
      <c r="B28" s="161"/>
    </row>
    <row r="29" ht="16.5" customHeight="1">
      <c r="B29" s="161"/>
    </row>
  </sheetData>
  <printOptions/>
  <pageMargins left="0.984251968503937" right="0.3937007874015748" top="0.3937007874015748"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Ark12"/>
  <dimension ref="B2:O124"/>
  <sheetViews>
    <sheetView showGridLines="0" showRowColHeaders="0" workbookViewId="0" topLeftCell="A1">
      <selection activeCell="A1" sqref="A1"/>
    </sheetView>
  </sheetViews>
  <sheetFormatPr defaultColWidth="9.140625" defaultRowHeight="16.5" customHeight="1"/>
  <cols>
    <col min="1" max="1" width="7.7109375" style="1" customWidth="1"/>
    <col min="2" max="2" width="1.7109375" style="1" customWidth="1"/>
    <col min="3" max="3" width="10.7109375" style="1" customWidth="1"/>
    <col min="4" max="4" width="1.7109375" style="1" customWidth="1"/>
    <col min="5" max="5" width="10.7109375" style="1" customWidth="1"/>
    <col min="6" max="6" width="1.7109375" style="1" customWidth="1"/>
    <col min="7" max="7" width="10.7109375" style="1" customWidth="1"/>
    <col min="8" max="8" width="1.7109375" style="1" customWidth="1"/>
    <col min="9" max="9" width="10.7109375" style="1" customWidth="1"/>
    <col min="10" max="10" width="1.7109375" style="1" customWidth="1"/>
    <col min="11" max="11" width="10.7109375" style="1" customWidth="1"/>
    <col min="12" max="12" width="1.7109375" style="1" customWidth="1"/>
    <col min="13" max="13" width="10.7109375" style="1" customWidth="1"/>
    <col min="14" max="14" width="1.7109375" style="1" customWidth="1"/>
    <col min="15" max="15" width="10.7109375" style="1" customWidth="1"/>
    <col min="16" max="16384" width="9.140625" style="1" customWidth="1"/>
  </cols>
  <sheetData>
    <row r="1" ht="12.75" customHeight="1"/>
    <row r="2" spans="2:15" ht="12.75" customHeight="1">
      <c r="B2" s="434">
        <f>sidenotetekst+1</f>
        <v>15</v>
      </c>
      <c r="C2" s="434"/>
      <c r="D2" s="434"/>
      <c r="E2" s="434"/>
      <c r="F2" s="434"/>
      <c r="G2" s="434"/>
      <c r="H2" s="434"/>
      <c r="I2" s="434"/>
      <c r="J2" s="434"/>
      <c r="K2" s="434"/>
      <c r="L2" s="434"/>
      <c r="M2" s="434"/>
      <c r="N2" s="434"/>
      <c r="O2" s="434"/>
    </row>
    <row r="3" spans="2:15" ht="12.75" customHeight="1">
      <c r="B3" s="161"/>
      <c r="C3" s="161"/>
      <c r="D3" s="161"/>
      <c r="E3" s="161"/>
      <c r="F3" s="161"/>
      <c r="G3" s="161"/>
      <c r="H3" s="161"/>
      <c r="I3" s="161"/>
      <c r="J3" s="161"/>
      <c r="K3" s="161"/>
      <c r="L3" s="161"/>
      <c r="M3" s="161"/>
      <c r="N3" s="161"/>
      <c r="O3" s="161"/>
    </row>
    <row r="4" spans="2:15" ht="12.75" customHeight="1">
      <c r="B4" s="161"/>
      <c r="C4" s="161"/>
      <c r="D4" s="161"/>
      <c r="E4" s="161"/>
      <c r="F4" s="161"/>
      <c r="G4" s="161"/>
      <c r="H4" s="161"/>
      <c r="I4" s="161"/>
      <c r="J4" s="161"/>
      <c r="K4" s="161"/>
      <c r="L4" s="161"/>
      <c r="M4" s="161"/>
      <c r="N4" s="161"/>
      <c r="O4" s="161"/>
    </row>
    <row r="5" spans="2:15" ht="39" customHeight="1">
      <c r="B5" s="293" t="s">
        <v>420</v>
      </c>
      <c r="C5" s="161"/>
      <c r="D5" s="161"/>
      <c r="E5" s="161"/>
      <c r="F5" s="161"/>
      <c r="G5" s="161"/>
      <c r="H5" s="161"/>
      <c r="I5" s="161"/>
      <c r="J5" s="161"/>
      <c r="K5" s="161"/>
      <c r="L5" s="161"/>
      <c r="M5" s="161"/>
      <c r="N5" s="161"/>
      <c r="O5" s="161"/>
    </row>
    <row r="6" spans="2:15" ht="12.75" customHeight="1">
      <c r="B6" s="161"/>
      <c r="C6" s="161"/>
      <c r="D6" s="161"/>
      <c r="E6" s="161"/>
      <c r="F6" s="161"/>
      <c r="G6" s="161"/>
      <c r="H6" s="161"/>
      <c r="I6" s="161"/>
      <c r="J6" s="161"/>
      <c r="K6" s="161"/>
      <c r="L6" s="161"/>
      <c r="M6" s="161"/>
      <c r="N6" s="161"/>
      <c r="O6" s="161"/>
    </row>
    <row r="7" spans="2:15" ht="12.75" customHeight="1">
      <c r="B7" s="161"/>
      <c r="C7" s="161"/>
      <c r="D7" s="161"/>
      <c r="E7" s="161"/>
      <c r="F7" s="161"/>
      <c r="G7" s="161"/>
      <c r="H7" s="161"/>
      <c r="I7" s="161"/>
      <c r="J7" s="161"/>
      <c r="K7" s="161"/>
      <c r="L7" s="161"/>
      <c r="M7" s="161"/>
      <c r="N7" s="161"/>
      <c r="O7" s="161"/>
    </row>
    <row r="8" spans="2:15" ht="12.75" customHeight="1">
      <c r="B8" s="161"/>
      <c r="C8" s="161"/>
      <c r="D8" s="161"/>
      <c r="E8" s="161"/>
      <c r="F8" s="161"/>
      <c r="G8" s="161"/>
      <c r="H8" s="161"/>
      <c r="I8" s="161"/>
      <c r="J8" s="161"/>
      <c r="K8" s="161"/>
      <c r="L8" s="161"/>
      <c r="M8" s="161"/>
      <c r="N8" s="161"/>
      <c r="O8" s="161"/>
    </row>
    <row r="9" spans="2:15" ht="12.75" customHeight="1">
      <c r="B9" s="161"/>
      <c r="C9" s="161"/>
      <c r="D9" s="161"/>
      <c r="E9" s="161"/>
      <c r="F9" s="161"/>
      <c r="G9" s="161"/>
      <c r="H9" s="161"/>
      <c r="I9" s="161"/>
      <c r="J9" s="161"/>
      <c r="K9" s="161"/>
      <c r="L9" s="161"/>
      <c r="M9" s="161"/>
      <c r="N9" s="161"/>
      <c r="O9" s="161"/>
    </row>
    <row r="10" spans="2:15" ht="16.5" customHeight="1">
      <c r="B10" s="207" t="str">
        <f>'Skattemæssige opgørelser'!C38</f>
        <v>Årets skattemæssige resultat</v>
      </c>
      <c r="C10" s="161"/>
      <c r="D10" s="161"/>
      <c r="E10" s="161"/>
      <c r="F10" s="161"/>
      <c r="G10" s="161"/>
      <c r="H10" s="161"/>
      <c r="I10" s="161"/>
      <c r="J10" s="161"/>
      <c r="K10" s="161"/>
      <c r="L10" s="161"/>
      <c r="M10" s="161"/>
      <c r="N10" s="161"/>
      <c r="O10" s="161"/>
    </row>
    <row r="11" spans="2:15" ht="16.5" customHeight="1">
      <c r="B11" s="161" t="str">
        <f>'Skattemæssige opgørelser'!C5</f>
        <v>Resultat før renter</v>
      </c>
      <c r="C11" s="161"/>
      <c r="D11" s="161"/>
      <c r="E11" s="161"/>
      <c r="F11" s="161"/>
      <c r="G11" s="161"/>
      <c r="H11" s="161"/>
      <c r="I11" s="161"/>
      <c r="J11" s="161"/>
      <c r="K11" s="161"/>
      <c r="L11" s="161"/>
      <c r="M11" s="161"/>
      <c r="N11" s="161"/>
      <c r="O11" s="294">
        <f>'Skattemæssige opgørelser'!G5</f>
        <v>746333</v>
      </c>
    </row>
    <row r="12" spans="2:15" ht="16.5" customHeight="1">
      <c r="B12" s="161" t="str">
        <f>'Skattemæssige opgørelser'!C6</f>
        <v>Renteindtægter</v>
      </c>
      <c r="C12" s="161"/>
      <c r="D12" s="161"/>
      <c r="E12" s="161"/>
      <c r="F12" s="161"/>
      <c r="G12" s="161"/>
      <c r="H12" s="161"/>
      <c r="I12" s="294">
        <f>'Skattemæssige opgørelser'!E6</f>
        <v>6985</v>
      </c>
      <c r="J12" s="161"/>
      <c r="K12" s="161"/>
      <c r="L12" s="161"/>
      <c r="M12" s="161"/>
      <c r="N12" s="161"/>
      <c r="O12" s="161"/>
    </row>
    <row r="13" spans="2:15" ht="16.5" customHeight="1">
      <c r="B13" s="302" t="str">
        <f>'Skattemæssige opgørelser'!C7</f>
        <v>Renteudgifter</v>
      </c>
      <c r="C13" s="302"/>
      <c r="D13" s="302"/>
      <c r="E13" s="302"/>
      <c r="F13" s="302"/>
      <c r="G13" s="302"/>
      <c r="H13" s="302"/>
      <c r="I13" s="296">
        <f>'Skattemæssige opgørelser'!E7</f>
        <v>50176</v>
      </c>
      <c r="J13" s="296"/>
      <c r="K13" s="296">
        <f>'Skattemæssige opgørelser'!F7</f>
        <v>-43191</v>
      </c>
      <c r="L13" s="295"/>
      <c r="M13" s="295"/>
      <c r="N13" s="295"/>
      <c r="O13" s="296">
        <f>'Skattemæssige opgørelser'!G7</f>
        <v>-43191</v>
      </c>
    </row>
    <row r="14" spans="2:15" ht="16.5" customHeight="1">
      <c r="B14" s="301" t="str">
        <f>'Skattemæssige opgørelser'!C8</f>
        <v>Resultat efter renter</v>
      </c>
      <c r="C14" s="301"/>
      <c r="D14" s="301"/>
      <c r="E14" s="301"/>
      <c r="F14" s="301"/>
      <c r="G14" s="301"/>
      <c r="H14" s="301"/>
      <c r="I14" s="299"/>
      <c r="J14" s="299"/>
      <c r="K14" s="299"/>
      <c r="L14" s="299"/>
      <c r="M14" s="299"/>
      <c r="N14" s="299"/>
      <c r="O14" s="300">
        <f>'Skattemæssige opgørelser'!G8</f>
        <v>703142</v>
      </c>
    </row>
    <row r="15" spans="2:15" ht="16.5" customHeight="1">
      <c r="B15" s="161"/>
      <c r="C15" s="161"/>
      <c r="D15" s="161"/>
      <c r="E15" s="161"/>
      <c r="F15" s="161"/>
      <c r="G15" s="161"/>
      <c r="H15" s="302"/>
      <c r="I15" s="161"/>
      <c r="J15" s="161"/>
      <c r="K15" s="161"/>
      <c r="L15" s="161"/>
      <c r="M15" s="161"/>
      <c r="N15" s="161"/>
      <c r="O15" s="161"/>
    </row>
    <row r="16" spans="2:15" ht="16.5" customHeight="1">
      <c r="B16" s="161" t="str">
        <f>'Skattemæssige opgørelser'!C10</f>
        <v>Resultat efter renter</v>
      </c>
      <c r="C16" s="161"/>
      <c r="D16" s="161"/>
      <c r="E16" s="161"/>
      <c r="F16" s="161"/>
      <c r="G16" s="161"/>
      <c r="H16" s="302"/>
      <c r="I16" s="161"/>
      <c r="J16" s="161"/>
      <c r="K16" s="161"/>
      <c r="L16" s="161"/>
      <c r="M16" s="161"/>
      <c r="N16" s="161"/>
      <c r="O16" s="298">
        <f>'Skattemæssige opgørelser'!G10</f>
        <v>703142</v>
      </c>
    </row>
    <row r="17" spans="2:15" ht="16.5" customHeight="1">
      <c r="B17" s="161" t="str">
        <f>'Skattemæssige opgørelser'!C11</f>
        <v>Repræsentation</v>
      </c>
      <c r="C17" s="161"/>
      <c r="D17" s="161"/>
      <c r="E17" s="161"/>
      <c r="F17" s="161"/>
      <c r="G17" s="161"/>
      <c r="H17" s="302"/>
      <c r="I17" s="294">
        <f>'Skattemæssige opgørelser'!E11</f>
        <v>4337</v>
      </c>
      <c r="J17" s="161"/>
      <c r="K17" s="161"/>
      <c r="L17" s="161"/>
      <c r="M17" s="161"/>
      <c r="N17" s="161"/>
      <c r="O17" s="161"/>
    </row>
    <row r="18" spans="2:15" ht="16.5" customHeight="1">
      <c r="B18" s="161"/>
      <c r="C18" s="161" t="str">
        <f>'Skattemæssige opgørelser'!C12</f>
        <v>Andel 100 pct. fradrag</v>
      </c>
      <c r="D18" s="161"/>
      <c r="E18" s="161"/>
      <c r="F18" s="161"/>
      <c r="G18" s="161"/>
      <c r="H18" s="302"/>
      <c r="I18" s="294">
        <f>'Skattemæssige opgørelser'!E12</f>
        <v>0</v>
      </c>
      <c r="J18" s="161"/>
      <c r="K18" s="161"/>
      <c r="L18" s="161"/>
      <c r="M18" s="161"/>
      <c r="N18" s="161"/>
      <c r="O18" s="161"/>
    </row>
    <row r="19" spans="2:15" ht="16.5" customHeight="1">
      <c r="B19" s="302"/>
      <c r="C19" s="302" t="str">
        <f>'Skattemæssige opgørelser'!C13</f>
        <v>Andel 25 pct. fradrag</v>
      </c>
      <c r="D19" s="302"/>
      <c r="E19" s="302"/>
      <c r="F19" s="302"/>
      <c r="G19" s="302"/>
      <c r="H19" s="302"/>
      <c r="I19" s="296">
        <f>'Skattemæssige opgørelser'!E13</f>
        <v>4337</v>
      </c>
      <c r="J19" s="295"/>
      <c r="K19" s="296">
        <f>'Skattemæssige opgørelser'!F13</f>
        <v>3252.75</v>
      </c>
      <c r="L19" s="295"/>
      <c r="M19" s="295"/>
      <c r="N19" s="295"/>
      <c r="O19" s="296">
        <f>'Skattemæssige opgørelser'!G13</f>
        <v>3252.75</v>
      </c>
    </row>
    <row r="20" spans="2:15" ht="16.5" customHeight="1">
      <c r="B20" s="161" t="str">
        <f>'Skattemæssige opgørelser'!C14</f>
        <v>Ej fradragsberettigede renter, gebyrer og bøder mv.</v>
      </c>
      <c r="C20" s="161"/>
      <c r="D20" s="161"/>
      <c r="E20" s="161"/>
      <c r="F20" s="161"/>
      <c r="G20" s="161"/>
      <c r="H20" s="161"/>
      <c r="I20" s="161"/>
      <c r="J20" s="161"/>
      <c r="K20" s="161"/>
      <c r="L20" s="161"/>
      <c r="M20" s="161"/>
      <c r="N20" s="161"/>
      <c r="O20" s="294">
        <f>'Skattemæssige opgørelser'!G14</f>
        <v>510</v>
      </c>
    </row>
    <row r="21" spans="2:15" ht="16.5" customHeight="1">
      <c r="B21" s="161" t="str">
        <f>'Skattemæssige opgørelser'!C15</f>
        <v>Ej fredragsberettigede øvrige udgifter</v>
      </c>
      <c r="C21" s="161"/>
      <c r="D21" s="161"/>
      <c r="E21" s="161"/>
      <c r="F21" s="161"/>
      <c r="G21" s="161"/>
      <c r="H21" s="161"/>
      <c r="I21" s="295"/>
      <c r="J21" s="295"/>
      <c r="K21" s="295"/>
      <c r="L21" s="295"/>
      <c r="M21" s="295"/>
      <c r="N21" s="295"/>
      <c r="O21" s="296">
        <f>'Skattemæssige opgørelser'!G15</f>
        <v>0</v>
      </c>
    </row>
    <row r="22" spans="2:15" ht="16.5" customHeight="1">
      <c r="B22" s="161"/>
      <c r="C22" s="161"/>
      <c r="D22" s="161"/>
      <c r="E22" s="161"/>
      <c r="F22" s="161"/>
      <c r="G22" s="161"/>
      <c r="H22" s="161"/>
      <c r="I22" s="161"/>
      <c r="J22" s="161"/>
      <c r="K22" s="161"/>
      <c r="L22" s="161"/>
      <c r="M22" s="161"/>
      <c r="N22" s="161"/>
      <c r="O22" s="304">
        <f>'Skattemæssige opgørelser'!G16</f>
        <v>706904.75</v>
      </c>
    </row>
    <row r="23" spans="2:15" ht="16.5" customHeight="1">
      <c r="B23" s="161" t="str">
        <f>'Skattemæssige opgørelser'!C17</f>
        <v>Regnskabsmæssige afskrivninger:</v>
      </c>
      <c r="C23" s="161"/>
      <c r="D23" s="161"/>
      <c r="E23" s="161"/>
      <c r="F23" s="161"/>
      <c r="G23" s="161"/>
      <c r="H23" s="161"/>
      <c r="I23" s="161"/>
      <c r="J23" s="161"/>
      <c r="K23" s="161"/>
      <c r="L23" s="161"/>
      <c r="M23" s="161"/>
      <c r="N23" s="161"/>
      <c r="O23" s="161"/>
    </row>
    <row r="24" spans="2:15" ht="16.5" customHeight="1">
      <c r="B24" s="161" t="str">
        <f>'Skattemæssige opgørelser'!C18</f>
        <v>Immaterielle</v>
      </c>
      <c r="C24" s="161"/>
      <c r="D24" s="161"/>
      <c r="E24" s="161"/>
      <c r="F24" s="161"/>
      <c r="G24" s="161"/>
      <c r="H24" s="161"/>
      <c r="I24" s="294">
        <f>'Skattemæssige opgørelser'!F18</f>
        <v>0</v>
      </c>
      <c r="J24" s="161"/>
      <c r="K24" s="161"/>
      <c r="L24" s="161"/>
      <c r="M24" s="161"/>
      <c r="N24" s="161"/>
      <c r="O24" s="161"/>
    </row>
    <row r="25" spans="2:15" ht="16.5" customHeight="1">
      <c r="B25" s="161" t="str">
        <f>'Skattemæssige opgørelser'!C19</f>
        <v>Bygninger</v>
      </c>
      <c r="C25" s="161"/>
      <c r="D25" s="161"/>
      <c r="E25" s="161"/>
      <c r="F25" s="161"/>
      <c r="G25" s="161"/>
      <c r="H25" s="161"/>
      <c r="I25" s="294">
        <f>'Skattemæssige opgørelser'!F19</f>
        <v>40000</v>
      </c>
      <c r="J25" s="161"/>
      <c r="K25" s="161"/>
      <c r="L25" s="161"/>
      <c r="M25" s="161"/>
      <c r="N25" s="161"/>
      <c r="O25" s="161"/>
    </row>
    <row r="26" spans="2:15" ht="16.5" customHeight="1">
      <c r="B26" s="161" t="str">
        <f>'Skattemæssige opgørelser'!C20</f>
        <v>Biler</v>
      </c>
      <c r="C26" s="161"/>
      <c r="D26" s="161"/>
      <c r="E26" s="161"/>
      <c r="F26" s="161"/>
      <c r="G26" s="161"/>
      <c r="H26" s="161"/>
      <c r="I26" s="294">
        <f>'Skattemæssige opgørelser'!F20</f>
        <v>26150</v>
      </c>
      <c r="J26" s="161"/>
      <c r="K26" s="161"/>
      <c r="L26" s="161"/>
      <c r="M26" s="161"/>
      <c r="N26" s="161"/>
      <c r="O26" s="161"/>
    </row>
    <row r="27" spans="2:15" ht="16.5" customHeight="1">
      <c r="B27" s="161" t="str">
        <f>'Skattemæssige opgørelser'!C21</f>
        <v>Øvrige driftsmidler og inventar</v>
      </c>
      <c r="C27" s="161"/>
      <c r="D27" s="161"/>
      <c r="E27" s="161"/>
      <c r="F27" s="161"/>
      <c r="G27" s="161"/>
      <c r="H27" s="161"/>
      <c r="I27" s="296">
        <f>'Skattemæssige opgørelser'!F21</f>
        <v>25620</v>
      </c>
      <c r="J27" s="295"/>
      <c r="K27" s="295"/>
      <c r="L27" s="295"/>
      <c r="M27" s="295"/>
      <c r="N27" s="295"/>
      <c r="O27" s="296">
        <f>'Skattemæssige opgørelser'!G21</f>
        <v>91770</v>
      </c>
    </row>
    <row r="28" spans="2:15" ht="16.5" customHeight="1">
      <c r="B28" s="161"/>
      <c r="C28" s="161"/>
      <c r="D28" s="161"/>
      <c r="E28" s="161"/>
      <c r="F28" s="161"/>
      <c r="G28" s="161"/>
      <c r="H28" s="161"/>
      <c r="I28" s="161"/>
      <c r="J28" s="161"/>
      <c r="K28" s="161"/>
      <c r="L28" s="161"/>
      <c r="M28" s="161"/>
      <c r="N28" s="161"/>
      <c r="O28" s="305">
        <f>O22+O27</f>
        <v>798674.75</v>
      </c>
    </row>
    <row r="29" spans="2:15" ht="16.5" customHeight="1">
      <c r="B29" s="161" t="str">
        <f>'Skattemæssige opgørelser'!C23</f>
        <v>Skattemæssige afskrivninger:</v>
      </c>
      <c r="C29" s="161"/>
      <c r="D29" s="161"/>
      <c r="E29" s="161"/>
      <c r="F29" s="161"/>
      <c r="G29" s="161"/>
      <c r="H29" s="161"/>
      <c r="I29" s="161"/>
      <c r="J29" s="161"/>
      <c r="K29" s="161"/>
      <c r="L29" s="161"/>
      <c r="M29" s="161"/>
      <c r="N29" s="161"/>
      <c r="O29" s="161"/>
    </row>
    <row r="30" spans="2:15" ht="16.5" customHeight="1">
      <c r="B30" s="161" t="str">
        <f>'Skattemæssige opgørelser'!C24</f>
        <v>Immaterielle</v>
      </c>
      <c r="C30" s="161"/>
      <c r="D30" s="161"/>
      <c r="E30" s="161"/>
      <c r="F30" s="161"/>
      <c r="G30" s="161"/>
      <c r="H30" s="161"/>
      <c r="I30" s="294">
        <f>'Skattemæssige opgørelser'!F24</f>
        <v>0</v>
      </c>
      <c r="J30" s="161"/>
      <c r="K30" s="161"/>
      <c r="L30" s="161"/>
      <c r="M30" s="161"/>
      <c r="N30" s="161"/>
      <c r="O30" s="161"/>
    </row>
    <row r="31" spans="2:15" ht="16.5" customHeight="1">
      <c r="B31" s="161" t="str">
        <f>'Skattemæssige opgørelser'!C25</f>
        <v>Bygninger</v>
      </c>
      <c r="C31" s="161"/>
      <c r="D31" s="161"/>
      <c r="E31" s="161"/>
      <c r="F31" s="161"/>
      <c r="G31" s="161"/>
      <c r="H31" s="161"/>
      <c r="I31" s="294">
        <f>'Skattemæssige opgørelser'!F25</f>
        <v>50000</v>
      </c>
      <c r="J31" s="161"/>
      <c r="K31" s="161"/>
      <c r="L31" s="161"/>
      <c r="M31" s="161"/>
      <c r="N31" s="161"/>
      <c r="O31" s="161"/>
    </row>
    <row r="32" spans="2:15" ht="16.5" customHeight="1">
      <c r="B32" s="161" t="str">
        <f>'Skattemæssige opgørelser'!C26</f>
        <v>Biler</v>
      </c>
      <c r="C32" s="161"/>
      <c r="D32" s="161"/>
      <c r="E32" s="161"/>
      <c r="F32" s="161"/>
      <c r="G32" s="161"/>
      <c r="H32" s="161"/>
      <c r="I32" s="294">
        <f>'Skattemæssige opgørelser'!F26</f>
        <v>18387</v>
      </c>
      <c r="J32" s="161"/>
      <c r="K32" s="161"/>
      <c r="L32" s="161"/>
      <c r="M32" s="161"/>
      <c r="N32" s="161"/>
      <c r="O32" s="161"/>
    </row>
    <row r="33" spans="2:15" ht="16.5" customHeight="1">
      <c r="B33" s="161" t="str">
        <f>'Skattemæssige opgørelser'!C27</f>
        <v>Øvrige driftsmidler og inventar</v>
      </c>
      <c r="C33" s="161"/>
      <c r="D33" s="161"/>
      <c r="E33" s="161"/>
      <c r="F33" s="161"/>
      <c r="G33" s="161"/>
      <c r="H33" s="161"/>
      <c r="I33" s="296">
        <f>'Skattemæssige opgørelser'!F27</f>
        <v>28048</v>
      </c>
      <c r="J33" s="295"/>
      <c r="K33" s="295"/>
      <c r="L33" s="295"/>
      <c r="M33" s="295"/>
      <c r="N33" s="295"/>
      <c r="O33" s="296">
        <f>'Skattemæssige opgørelser'!G27</f>
        <v>-96435</v>
      </c>
    </row>
    <row r="34" spans="2:15" ht="16.5" customHeight="1">
      <c r="B34" s="161"/>
      <c r="C34" s="161"/>
      <c r="D34" s="161"/>
      <c r="E34" s="161"/>
      <c r="F34" s="161"/>
      <c r="G34" s="161"/>
      <c r="H34" s="161"/>
      <c r="I34" s="161"/>
      <c r="J34" s="161"/>
      <c r="K34" s="161"/>
      <c r="L34" s="161"/>
      <c r="M34" s="161"/>
      <c r="N34" s="161"/>
      <c r="O34" s="305">
        <f>O28+O33</f>
        <v>702239.75</v>
      </c>
    </row>
    <row r="35" spans="2:15" ht="16.5" customHeight="1">
      <c r="B35" s="161" t="str">
        <f>'Skattemæssige opgørelser'!C29</f>
        <v>Regnskabsmæssige tab på debitorer:</v>
      </c>
      <c r="C35" s="161"/>
      <c r="D35" s="161"/>
      <c r="E35" s="161"/>
      <c r="F35" s="161"/>
      <c r="G35" s="161"/>
      <c r="H35" s="161"/>
      <c r="I35" s="161"/>
      <c r="J35" s="161"/>
      <c r="K35" s="161"/>
      <c r="L35" s="161"/>
      <c r="M35" s="161"/>
      <c r="N35" s="161"/>
      <c r="O35" s="161"/>
    </row>
    <row r="36" spans="2:15" ht="16.5" customHeight="1">
      <c r="B36" s="161" t="str">
        <f>'Skattemæssige opgørelser'!C30</f>
        <v>Hensat primo</v>
      </c>
      <c r="C36" s="161"/>
      <c r="D36" s="161"/>
      <c r="E36" s="161"/>
      <c r="F36" s="161"/>
      <c r="G36" s="161"/>
      <c r="H36" s="161"/>
      <c r="I36" s="294">
        <f>'Skattemæssige opgørelser'!F30</f>
        <v>50000</v>
      </c>
      <c r="J36" s="161"/>
      <c r="K36" s="161"/>
      <c r="L36" s="161"/>
      <c r="M36" s="161"/>
      <c r="N36" s="161"/>
      <c r="O36" s="161"/>
    </row>
    <row r="37" spans="2:15" ht="16.5" customHeight="1">
      <c r="B37" s="161" t="str">
        <f>'Skattemæssige opgørelser'!C31</f>
        <v>Hensat ultimo</v>
      </c>
      <c r="C37" s="161"/>
      <c r="D37" s="161"/>
      <c r="E37" s="161"/>
      <c r="F37" s="161"/>
      <c r="G37" s="161"/>
      <c r="H37" s="161"/>
      <c r="I37" s="296">
        <f>'Skattemæssige opgørelser'!F31</f>
        <v>50000</v>
      </c>
      <c r="J37" s="295"/>
      <c r="K37" s="295"/>
      <c r="L37" s="295"/>
      <c r="M37" s="295"/>
      <c r="N37" s="295"/>
      <c r="O37" s="296">
        <f>'Skattemæssige opgørelser'!G31</f>
        <v>0</v>
      </c>
    </row>
    <row r="38" spans="2:15" ht="16.5" customHeight="1">
      <c r="B38" s="161"/>
      <c r="C38" s="161"/>
      <c r="D38" s="161"/>
      <c r="E38" s="161"/>
      <c r="F38" s="161"/>
      <c r="G38" s="161"/>
      <c r="H38" s="161"/>
      <c r="I38" s="161"/>
      <c r="J38" s="161"/>
      <c r="K38" s="161"/>
      <c r="L38" s="161"/>
      <c r="M38" s="161"/>
      <c r="N38" s="161"/>
      <c r="O38" s="305">
        <f>O34+O37</f>
        <v>702239.75</v>
      </c>
    </row>
    <row r="39" spans="2:15" ht="16.5" customHeight="1">
      <c r="B39" s="161" t="str">
        <f>'Skattemæssige opgørelser'!C33</f>
        <v>Ikke skattepligtige indtægter:</v>
      </c>
      <c r="C39" s="161"/>
      <c r="D39" s="161"/>
      <c r="E39" s="161"/>
      <c r="F39" s="161"/>
      <c r="G39" s="161"/>
      <c r="H39" s="161"/>
      <c r="I39" s="161"/>
      <c r="J39" s="161"/>
      <c r="K39" s="161"/>
      <c r="L39" s="161"/>
      <c r="M39" s="161"/>
      <c r="N39" s="161"/>
      <c r="O39" s="161"/>
    </row>
    <row r="40" spans="2:15" ht="16.5" customHeight="1">
      <c r="B40" s="161" t="str">
        <f>'Skattemæssige opgørelser'!C34</f>
        <v>Skattefri aktieudbytte</v>
      </c>
      <c r="C40" s="161"/>
      <c r="D40" s="161"/>
      <c r="E40" s="161"/>
      <c r="F40" s="161"/>
      <c r="G40" s="161"/>
      <c r="H40" s="161"/>
      <c r="I40" s="294">
        <f>'Skattemæssige opgørelser'!F34</f>
        <v>0</v>
      </c>
      <c r="J40" s="161"/>
      <c r="K40" s="161"/>
      <c r="L40" s="161"/>
      <c r="M40" s="161"/>
      <c r="N40" s="161"/>
      <c r="O40" s="161"/>
    </row>
    <row r="41" spans="2:15" ht="16.5" customHeight="1">
      <c r="B41" s="161" t="str">
        <f>'Skattemæssige opgørelser'!C35</f>
        <v>Skattefri avancer</v>
      </c>
      <c r="C41" s="161"/>
      <c r="D41" s="161"/>
      <c r="E41" s="161"/>
      <c r="F41" s="161"/>
      <c r="G41" s="161"/>
      <c r="H41" s="161"/>
      <c r="I41" s="294">
        <f>'Skattemæssige opgørelser'!F35</f>
        <v>0</v>
      </c>
      <c r="J41" s="161"/>
      <c r="K41" s="161"/>
      <c r="L41" s="161"/>
      <c r="M41" s="161"/>
      <c r="N41" s="161"/>
      <c r="O41" s="161"/>
    </row>
    <row r="42" spans="2:15" ht="16.5" customHeight="1">
      <c r="B42" s="161" t="str">
        <f>'Skattemæssige opgørelser'!C36</f>
        <v>Andre ikke skattepligtige indtægter</v>
      </c>
      <c r="C42" s="161"/>
      <c r="D42" s="161"/>
      <c r="E42" s="161"/>
      <c r="F42" s="161"/>
      <c r="G42" s="161"/>
      <c r="H42" s="161"/>
      <c r="I42" s="303">
        <f>'Skattemæssige opgørelser'!F36</f>
        <v>0</v>
      </c>
      <c r="J42" s="295"/>
      <c r="K42" s="295"/>
      <c r="L42" s="295"/>
      <c r="M42" s="295"/>
      <c r="N42" s="295"/>
      <c r="O42" s="296">
        <f>'Skattemæssige opgørelser'!G36</f>
        <v>0</v>
      </c>
    </row>
    <row r="43" spans="2:15" ht="16.5" customHeight="1" thickBot="1">
      <c r="B43" s="307" t="str">
        <f>'Skattemæssige opgørelser'!C38</f>
        <v>Årets skattemæssige resultat</v>
      </c>
      <c r="C43" s="307"/>
      <c r="D43" s="307"/>
      <c r="E43" s="307"/>
      <c r="F43" s="307"/>
      <c r="G43" s="307"/>
      <c r="H43" s="307"/>
      <c r="I43" s="307"/>
      <c r="J43" s="306"/>
      <c r="K43" s="306"/>
      <c r="L43" s="306"/>
      <c r="M43" s="307"/>
      <c r="N43" s="307"/>
      <c r="O43" s="308">
        <f>'Skattemæssige opgørelser'!G38</f>
        <v>702239.75</v>
      </c>
    </row>
    <row r="44" spans="2:15" ht="12.75" customHeight="1" thickTop="1">
      <c r="B44" s="434">
        <f>sideskat+1</f>
        <v>16</v>
      </c>
      <c r="C44" s="434"/>
      <c r="D44" s="434"/>
      <c r="E44" s="434"/>
      <c r="F44" s="434"/>
      <c r="G44" s="434"/>
      <c r="H44" s="434"/>
      <c r="I44" s="434"/>
      <c r="J44" s="434"/>
      <c r="K44" s="434"/>
      <c r="L44" s="434"/>
      <c r="M44" s="434"/>
      <c r="N44" s="434"/>
      <c r="O44" s="434"/>
    </row>
    <row r="45" spans="2:15" ht="12.75" customHeight="1">
      <c r="B45" s="161"/>
      <c r="C45" s="161"/>
      <c r="D45" s="161"/>
      <c r="E45" s="161"/>
      <c r="F45" s="161"/>
      <c r="G45" s="161"/>
      <c r="H45" s="161"/>
      <c r="I45" s="161"/>
      <c r="J45" s="161"/>
      <c r="K45" s="161"/>
      <c r="L45" s="161"/>
      <c r="M45" s="161"/>
      <c r="N45" s="161"/>
      <c r="O45" s="161"/>
    </row>
    <row r="46" spans="2:15" ht="12.75" customHeight="1">
      <c r="B46" s="161"/>
      <c r="C46" s="161"/>
      <c r="D46" s="161"/>
      <c r="E46" s="161"/>
      <c r="F46" s="161"/>
      <c r="G46" s="161"/>
      <c r="H46" s="161"/>
      <c r="I46" s="161"/>
      <c r="J46" s="161"/>
      <c r="K46" s="161"/>
      <c r="L46" s="161"/>
      <c r="M46" s="161"/>
      <c r="N46" s="161"/>
      <c r="O46" s="161"/>
    </row>
    <row r="47" spans="2:15" ht="39" customHeight="1">
      <c r="B47" s="293" t="s">
        <v>420</v>
      </c>
      <c r="C47" s="161"/>
      <c r="D47" s="161"/>
      <c r="E47" s="161"/>
      <c r="F47" s="161"/>
      <c r="G47" s="161"/>
      <c r="H47" s="161"/>
      <c r="I47" s="161"/>
      <c r="J47" s="161"/>
      <c r="K47" s="161"/>
      <c r="L47" s="161"/>
      <c r="M47" s="161"/>
      <c r="N47" s="161"/>
      <c r="O47" s="161"/>
    </row>
    <row r="48" spans="2:15" ht="12.75" customHeight="1">
      <c r="B48" s="161"/>
      <c r="C48" s="161"/>
      <c r="D48" s="161"/>
      <c r="E48" s="161"/>
      <c r="F48" s="161"/>
      <c r="G48" s="161"/>
      <c r="H48" s="161"/>
      <c r="I48" s="161"/>
      <c r="J48" s="161"/>
      <c r="K48" s="161"/>
      <c r="L48" s="161"/>
      <c r="M48" s="161"/>
      <c r="N48" s="161"/>
      <c r="O48" s="161"/>
    </row>
    <row r="49" spans="2:15" ht="12.75" customHeight="1">
      <c r="B49" s="161"/>
      <c r="C49" s="161"/>
      <c r="D49" s="161"/>
      <c r="E49" s="161"/>
      <c r="F49" s="161"/>
      <c r="G49" s="161"/>
      <c r="H49" s="161"/>
      <c r="I49" s="161"/>
      <c r="J49" s="161"/>
      <c r="K49" s="161"/>
      <c r="L49" s="161"/>
      <c r="M49" s="161"/>
      <c r="N49" s="161"/>
      <c r="O49" s="161"/>
    </row>
    <row r="50" spans="2:15" ht="12.75" customHeight="1">
      <c r="B50" s="161"/>
      <c r="C50" s="161"/>
      <c r="D50" s="161"/>
      <c r="E50" s="161"/>
      <c r="F50" s="161"/>
      <c r="G50" s="161"/>
      <c r="H50" s="161"/>
      <c r="I50" s="161"/>
      <c r="J50" s="161"/>
      <c r="K50" s="161"/>
      <c r="L50" s="161"/>
      <c r="M50" s="161"/>
      <c r="N50" s="161"/>
      <c r="O50" s="161"/>
    </row>
    <row r="51" spans="2:15" ht="12.75" customHeight="1">
      <c r="B51" s="161"/>
      <c r="C51" s="161"/>
      <c r="D51" s="161"/>
      <c r="E51" s="161"/>
      <c r="F51" s="161"/>
      <c r="G51" s="161"/>
      <c r="H51" s="161"/>
      <c r="I51" s="161"/>
      <c r="J51" s="161"/>
      <c r="K51" s="161"/>
      <c r="L51" s="161"/>
      <c r="M51" s="161"/>
      <c r="N51" s="161"/>
      <c r="O51" s="161"/>
    </row>
    <row r="52" spans="2:15" ht="16.5" customHeight="1" hidden="1">
      <c r="B52" s="207" t="str">
        <f>'Skattemæssige opgørelser'!C43</f>
        <v>SKATTEOPGØRELSE PSL</v>
      </c>
      <c r="C52" s="161"/>
      <c r="D52" s="161"/>
      <c r="E52" s="161"/>
      <c r="F52" s="161"/>
      <c r="G52" s="161"/>
      <c r="H52" s="161"/>
      <c r="I52" s="161"/>
      <c r="J52" s="161"/>
      <c r="K52" s="161"/>
      <c r="L52" s="161"/>
      <c r="M52" s="161"/>
      <c r="N52" s="161"/>
      <c r="O52" s="161"/>
    </row>
    <row r="53" spans="2:15" ht="16.5" customHeight="1" hidden="1">
      <c r="B53" s="161"/>
      <c r="C53" s="161"/>
      <c r="D53" s="161"/>
      <c r="E53" s="161"/>
      <c r="F53" s="161"/>
      <c r="G53" s="161"/>
      <c r="H53" s="161"/>
      <c r="I53" s="161"/>
      <c r="J53" s="161"/>
      <c r="K53" s="161"/>
      <c r="L53" s="161"/>
      <c r="M53" s="161"/>
      <c r="N53" s="161"/>
      <c r="O53" s="161"/>
    </row>
    <row r="54" spans="2:15" ht="16.5" customHeight="1" hidden="1">
      <c r="B54" s="161" t="str">
        <f>'Skattemæssige opgørelser'!C45</f>
        <v>Årets skattemæssige resultat</v>
      </c>
      <c r="C54" s="161"/>
      <c r="D54" s="161"/>
      <c r="E54" s="161"/>
      <c r="F54" s="161"/>
      <c r="G54" s="161"/>
      <c r="H54" s="161"/>
      <c r="I54" s="161"/>
      <c r="J54" s="161"/>
      <c r="K54" s="161"/>
      <c r="L54" s="161"/>
      <c r="M54" s="161"/>
      <c r="N54" s="161"/>
      <c r="O54" s="294">
        <f>'Skattemæssige opgørelser'!G45</f>
        <v>702239.75</v>
      </c>
    </row>
    <row r="55" spans="2:15" ht="16.5" customHeight="1" hidden="1">
      <c r="B55" s="161"/>
      <c r="C55" s="161"/>
      <c r="D55" s="161"/>
      <c r="E55" s="161"/>
      <c r="F55" s="161"/>
      <c r="G55" s="161"/>
      <c r="H55" s="161"/>
      <c r="I55" s="161"/>
      <c r="J55" s="161"/>
      <c r="K55" s="161"/>
      <c r="L55" s="161"/>
      <c r="M55" s="161"/>
      <c r="N55" s="161"/>
      <c r="O55" s="161"/>
    </row>
    <row r="56" spans="2:15" ht="16.5" customHeight="1" hidden="1">
      <c r="B56" s="161" t="str">
        <f>'Skattemæssige opgørelser'!C47</f>
        <v>Eget vareforbrug (tillagt moms)</v>
      </c>
      <c r="C56" s="161"/>
      <c r="D56" s="161"/>
      <c r="E56" s="161"/>
      <c r="F56" s="161"/>
      <c r="G56" s="161"/>
      <c r="H56" s="161"/>
      <c r="I56" s="161"/>
      <c r="J56" s="161"/>
      <c r="K56" s="161"/>
      <c r="L56" s="161"/>
      <c r="M56" s="294">
        <f>'Skattemæssige opgørelser'!G47</f>
        <v>0</v>
      </c>
      <c r="N56" s="161"/>
      <c r="O56" s="161"/>
    </row>
    <row r="57" spans="2:15" ht="16.5" customHeight="1" hidden="1" thickBot="1">
      <c r="B57" s="161" t="str">
        <f>'Skattemæssige opgørelser'!C48</f>
        <v>Privat andel af biludgifter</v>
      </c>
      <c r="C57" s="161"/>
      <c r="D57" s="161"/>
      <c r="E57" s="161"/>
      <c r="F57" s="161"/>
      <c r="G57" s="161"/>
      <c r="H57" s="161"/>
      <c r="I57" s="161"/>
      <c r="J57" s="161"/>
      <c r="K57" s="161"/>
      <c r="L57" s="302"/>
      <c r="M57" s="296">
        <f>'Skattemæssige opgørelser'!G48</f>
        <v>0</v>
      </c>
      <c r="N57" s="295"/>
      <c r="O57" s="296">
        <f>SUM('Skattemæssige opgørelser'!G47:G48)</f>
        <v>0</v>
      </c>
    </row>
    <row r="58" spans="2:15" ht="16.5" customHeight="1" hidden="1" thickBot="1" thickTop="1">
      <c r="B58" s="161" t="str">
        <f>'Skattemæssige opgørelser'!C49</f>
        <v>Overskud af selvstændig virksomhed</v>
      </c>
      <c r="C58" s="161"/>
      <c r="D58" s="161"/>
      <c r="E58" s="161"/>
      <c r="F58" s="161"/>
      <c r="G58" s="161"/>
      <c r="H58" s="161"/>
      <c r="I58" s="161"/>
      <c r="J58" s="161"/>
      <c r="K58" s="315" t="str">
        <f>'Skattemæssige opgørelser'!I49</f>
        <v>Rubrik 111</v>
      </c>
      <c r="L58" s="302"/>
      <c r="M58" s="161"/>
      <c r="N58" s="161"/>
      <c r="O58" s="294">
        <f>'Skattemæssige opgørelser'!G49</f>
        <v>702239.75</v>
      </c>
    </row>
    <row r="59" spans="2:15" ht="16.5" customHeight="1" hidden="1" thickBot="1" thickTop="1">
      <c r="B59" s="161" t="str">
        <f>'Skattemæssige opgørelser'!C50</f>
        <v>Underskud af selvstændig virksomhed</v>
      </c>
      <c r="C59" s="161"/>
      <c r="D59" s="161"/>
      <c r="E59" s="161"/>
      <c r="F59" s="161"/>
      <c r="G59" s="161"/>
      <c r="H59" s="161"/>
      <c r="I59" s="161"/>
      <c r="J59" s="161"/>
      <c r="K59" s="315" t="str">
        <f>'Skattemæssige opgørelser'!I50</f>
        <v>Rubrik 112</v>
      </c>
      <c r="L59" s="302"/>
      <c r="M59" s="295"/>
      <c r="N59" s="295"/>
      <c r="O59" s="296">
        <f>'Skattemæssige opgørelser'!G50</f>
        <v>0</v>
      </c>
    </row>
    <row r="60" spans="2:15" ht="16.5" customHeight="1" hidden="1" thickBot="1" thickTop="1">
      <c r="B60" s="161"/>
      <c r="C60" s="161"/>
      <c r="D60" s="161"/>
      <c r="E60" s="161"/>
      <c r="F60" s="161"/>
      <c r="G60" s="161"/>
      <c r="H60" s="161"/>
      <c r="I60" s="161"/>
      <c r="J60" s="161"/>
      <c r="K60" s="314"/>
      <c r="L60" s="302"/>
      <c r="M60" s="161"/>
      <c r="N60" s="161"/>
      <c r="O60" s="161"/>
    </row>
    <row r="61" spans="2:15" ht="16.5" customHeight="1" hidden="1" thickBot="1" thickTop="1">
      <c r="B61" s="161" t="str">
        <f>'Skattemæssige opgørelser'!C52</f>
        <v>Værdi af fri telefon</v>
      </c>
      <c r="C61" s="161"/>
      <c r="D61" s="161"/>
      <c r="E61" s="161"/>
      <c r="F61" s="161"/>
      <c r="G61" s="161"/>
      <c r="H61" s="161"/>
      <c r="I61" s="161"/>
      <c r="J61" s="161"/>
      <c r="K61" s="315" t="str">
        <f>'Skattemæssige opgørelser'!I52</f>
        <v>Rubrik 15</v>
      </c>
      <c r="L61" s="161"/>
      <c r="M61" s="161"/>
      <c r="N61" s="161"/>
      <c r="O61" s="296">
        <f>'Skattemæssige opgørelser'!G52</f>
        <v>3000</v>
      </c>
    </row>
    <row r="62" spans="2:15" ht="16.5" customHeight="1" hidden="1" thickTop="1">
      <c r="B62" s="161"/>
      <c r="C62" s="161"/>
      <c r="D62" s="161"/>
      <c r="E62" s="161"/>
      <c r="F62" s="161"/>
      <c r="G62" s="161"/>
      <c r="H62" s="161"/>
      <c r="I62" s="161"/>
      <c r="J62" s="161"/>
      <c r="K62" s="161"/>
      <c r="L62" s="161"/>
      <c r="M62" s="161"/>
      <c r="N62" s="161"/>
      <c r="O62" s="161"/>
    </row>
    <row r="63" spans="2:15" ht="25.5" customHeight="1" hidden="1">
      <c r="B63" s="436" t="str">
        <f>'Skattemæssige opgørelser'!C54</f>
        <v>Alle såvel private som erhvervsmæssige renteindtægter og renteudgifter påføres selvangivelsen under kapitalindkomst og fradrag i kapitalindkomst.</v>
      </c>
      <c r="C63" s="436"/>
      <c r="D63" s="436"/>
      <c r="E63" s="436"/>
      <c r="F63" s="436"/>
      <c r="G63" s="436"/>
      <c r="H63" s="436"/>
      <c r="I63" s="436"/>
      <c r="J63" s="436"/>
      <c r="K63" s="436"/>
      <c r="L63" s="436"/>
      <c r="M63" s="436"/>
      <c r="N63" s="436"/>
      <c r="O63" s="436"/>
    </row>
    <row r="64" spans="2:15" ht="16.5" customHeight="1" hidden="1">
      <c r="B64" s="161"/>
      <c r="C64" s="161"/>
      <c r="D64" s="161"/>
      <c r="E64" s="161"/>
      <c r="F64" s="161"/>
      <c r="G64" s="161"/>
      <c r="H64" s="161"/>
      <c r="I64" s="161"/>
      <c r="J64" s="161"/>
      <c r="K64" s="161"/>
      <c r="L64" s="161"/>
      <c r="M64" s="161"/>
      <c r="N64" s="161"/>
      <c r="O64" s="161"/>
    </row>
    <row r="65" spans="2:15" ht="16.5" customHeight="1" hidden="1">
      <c r="B65" s="236" t="str">
        <f>'Skattemæssige opgørelser'!C55</f>
        <v>SKATTEOPGØRELSE VSO</v>
      </c>
      <c r="C65" s="161"/>
      <c r="D65" s="161"/>
      <c r="E65" s="161"/>
      <c r="F65" s="161"/>
      <c r="G65" s="161"/>
      <c r="H65" s="161"/>
      <c r="I65" s="161"/>
      <c r="J65" s="161"/>
      <c r="K65" s="161"/>
      <c r="L65" s="161"/>
      <c r="M65" s="161"/>
      <c r="N65" s="161"/>
      <c r="O65" s="161"/>
    </row>
    <row r="66" spans="2:15" ht="16.5" customHeight="1" hidden="1">
      <c r="B66" s="46"/>
      <c r="C66" s="46"/>
      <c r="D66" s="46"/>
      <c r="E66" s="46"/>
      <c r="F66" s="46"/>
      <c r="G66" s="46"/>
      <c r="H66" s="46"/>
      <c r="I66" s="46"/>
      <c r="J66" s="46"/>
      <c r="K66" s="46"/>
      <c r="L66" s="46"/>
      <c r="M66" s="46"/>
      <c r="N66" s="46"/>
      <c r="O66" s="46"/>
    </row>
    <row r="67" spans="2:15" ht="16.5" customHeight="1" hidden="1">
      <c r="B67" s="46" t="str">
        <f>'Skattemæssige opgørelser'!C57</f>
        <v>Årets skattemæssige resultat</v>
      </c>
      <c r="C67" s="46"/>
      <c r="D67" s="46"/>
      <c r="E67" s="46"/>
      <c r="F67" s="46"/>
      <c r="G67" s="46"/>
      <c r="H67" s="46"/>
      <c r="I67" s="46"/>
      <c r="J67" s="46"/>
      <c r="K67" s="46"/>
      <c r="L67" s="46"/>
      <c r="M67" s="46"/>
      <c r="N67" s="46"/>
      <c r="O67" s="310">
        <f>'Skattemæssige opgørelser'!G57</f>
        <v>702239.75</v>
      </c>
    </row>
    <row r="68" spans="2:15" ht="16.5" customHeight="1" hidden="1">
      <c r="B68" s="46" t="str">
        <f>'Skattemæssige opgørelser'!C59</f>
        <v>Beløb overført til medarbejdende ægtefælle</v>
      </c>
      <c r="C68" s="46"/>
      <c r="D68" s="46"/>
      <c r="E68" s="46"/>
      <c r="F68" s="46"/>
      <c r="G68" s="46"/>
      <c r="H68" s="46"/>
      <c r="I68" s="46"/>
      <c r="J68" s="46"/>
      <c r="K68" s="313"/>
      <c r="L68" s="313"/>
      <c r="M68" s="309"/>
      <c r="N68" s="309"/>
      <c r="O68" s="311">
        <f>'Skattemæssige opgørelser'!G59</f>
        <v>0</v>
      </c>
    </row>
    <row r="69" spans="2:15" ht="16.5" customHeight="1" hidden="1">
      <c r="B69" s="46" t="str">
        <f>'Skattemæssige opgørelser'!C60</f>
        <v>Resterende overskud af selvstændig virksomhed</v>
      </c>
      <c r="C69" s="46"/>
      <c r="D69" s="46"/>
      <c r="E69" s="46"/>
      <c r="F69" s="46"/>
      <c r="G69" s="46"/>
      <c r="H69" s="46"/>
      <c r="I69" s="46"/>
      <c r="J69" s="46"/>
      <c r="K69" s="313"/>
      <c r="L69" s="313"/>
      <c r="M69" s="46"/>
      <c r="N69" s="46"/>
      <c r="O69" s="310">
        <f>'Skattemæssige opgørelser'!G60</f>
        <v>702239.75</v>
      </c>
    </row>
    <row r="70" spans="2:15" ht="16.5" customHeight="1" hidden="1">
      <c r="B70" s="46"/>
      <c r="C70" s="46"/>
      <c r="D70" s="46"/>
      <c r="E70" s="46"/>
      <c r="F70" s="46"/>
      <c r="G70" s="46"/>
      <c r="H70" s="46"/>
      <c r="I70" s="46"/>
      <c r="J70" s="46"/>
      <c r="K70" s="46"/>
      <c r="L70" s="46"/>
      <c r="M70" s="46"/>
      <c r="N70" s="46"/>
      <c r="O70" s="46"/>
    </row>
    <row r="71" spans="2:15" ht="16.5" customHeight="1" hidden="1">
      <c r="B71" s="46" t="s">
        <v>422</v>
      </c>
      <c r="C71" s="46"/>
      <c r="D71" s="46"/>
      <c r="E71" s="46"/>
      <c r="F71" s="46"/>
      <c r="G71" s="46"/>
      <c r="H71" s="46"/>
      <c r="I71" s="46"/>
      <c r="J71" s="46"/>
      <c r="K71" s="302"/>
      <c r="L71" s="313"/>
      <c r="M71" s="310">
        <f>'Skattemæssige opgørelser'!G62/ksats*100%</f>
        <v>224840</v>
      </c>
      <c r="N71" s="46"/>
      <c r="O71" s="46"/>
    </row>
    <row r="72" spans="2:15" ht="16.5" customHeight="1" hidden="1">
      <c r="B72" s="46" t="str">
        <f>'Skattemæssige opgørelser'!C62&amp;" ("&amp;TEXT(ksats,"0%")&amp;" x "&amp;TEXT(M71,"###.###.##0")&amp;")"</f>
        <v>Beregnet kapitalafkast (5% x 224.840)</v>
      </c>
      <c r="C72" s="46"/>
      <c r="D72" s="46"/>
      <c r="E72" s="46"/>
      <c r="F72" s="46"/>
      <c r="G72" s="46"/>
      <c r="H72" s="46"/>
      <c r="I72" s="46"/>
      <c r="J72" s="46"/>
      <c r="K72" s="302"/>
      <c r="L72" s="313"/>
      <c r="M72" s="311">
        <f>'Skattemæssige opgørelser'!G62</f>
        <v>11242</v>
      </c>
      <c r="N72" s="309"/>
      <c r="O72" s="311">
        <f>'Skattemæssige opgørelser'!G62</f>
        <v>11242</v>
      </c>
    </row>
    <row r="73" spans="2:15" ht="16.5" customHeight="1" hidden="1">
      <c r="B73" s="46"/>
      <c r="C73" s="46"/>
      <c r="D73" s="46"/>
      <c r="E73" s="46"/>
      <c r="F73" s="46"/>
      <c r="G73" s="46"/>
      <c r="H73" s="46"/>
      <c r="I73" s="46"/>
      <c r="J73" s="46"/>
      <c r="K73" s="302"/>
      <c r="L73" s="313"/>
      <c r="M73" s="46"/>
      <c r="N73" s="46"/>
      <c r="O73" s="46"/>
    </row>
    <row r="74" spans="2:15" ht="16.5" customHeight="1" hidden="1">
      <c r="B74" s="46" t="s">
        <v>424</v>
      </c>
      <c r="C74" s="46"/>
      <c r="D74" s="46"/>
      <c r="E74" s="46"/>
      <c r="F74" s="46"/>
      <c r="G74" s="46"/>
      <c r="H74" s="46"/>
      <c r="I74" s="46"/>
      <c r="J74" s="46"/>
      <c r="K74" s="302"/>
      <c r="L74" s="313"/>
      <c r="M74" s="298">
        <f>'Skattemæssige opgørelser'!G63/ksats*100%</f>
        <v>0</v>
      </c>
      <c r="N74" s="46"/>
      <c r="O74" s="46"/>
    </row>
    <row r="75" spans="2:15" ht="16.5" customHeight="1" hidden="1">
      <c r="B75" s="46" t="str">
        <f>'Skattemæssige opgørelser'!C63&amp;" ("&amp;TEXT(ksats,"0%")&amp;" x "&amp;TEXT(M74,"###.###.##0")&amp;")"</f>
        <v>Beregnet rentekorrektion (5% x 0)</v>
      </c>
      <c r="C75" s="46"/>
      <c r="D75" s="46"/>
      <c r="E75" s="46"/>
      <c r="F75" s="46"/>
      <c r="G75" s="46"/>
      <c r="H75" s="46"/>
      <c r="I75" s="46"/>
      <c r="J75" s="46"/>
      <c r="K75" s="302"/>
      <c r="L75" s="313"/>
      <c r="M75" s="311">
        <f>'Skattemæssige opgørelser'!G63</f>
        <v>0</v>
      </c>
      <c r="N75" s="309"/>
      <c r="O75" s="311">
        <f>'Skattemæssige opgørelser'!G63</f>
        <v>0</v>
      </c>
    </row>
    <row r="76" spans="2:15" ht="16.5" customHeight="1" hidden="1">
      <c r="B76" s="46"/>
      <c r="C76" s="46"/>
      <c r="D76" s="46"/>
      <c r="E76" s="46"/>
      <c r="F76" s="46"/>
      <c r="G76" s="46"/>
      <c r="H76" s="46"/>
      <c r="I76" s="46"/>
      <c r="J76" s="46"/>
      <c r="K76" s="302"/>
      <c r="L76" s="313"/>
      <c r="M76" s="46"/>
      <c r="N76" s="46"/>
      <c r="O76" s="46"/>
    </row>
    <row r="77" spans="2:15" ht="16.5" customHeight="1" hidden="1">
      <c r="B77" s="46" t="str">
        <f>'Skattemæssige opgørelser'!C65</f>
        <v>Hævet privat</v>
      </c>
      <c r="C77" s="46"/>
      <c r="D77" s="46"/>
      <c r="E77" s="46"/>
      <c r="F77" s="46"/>
      <c r="G77" s="46"/>
      <c r="H77" s="46"/>
      <c r="I77" s="46"/>
      <c r="J77" s="46"/>
      <c r="K77" s="302"/>
      <c r="L77" s="313"/>
      <c r="M77" s="309"/>
      <c r="N77" s="309"/>
      <c r="O77" s="311">
        <f>hævet</f>
        <v>400000</v>
      </c>
    </row>
    <row r="78" spans="2:15" ht="16.5" customHeight="1" hidden="1">
      <c r="B78" s="46"/>
      <c r="C78" s="46"/>
      <c r="D78" s="46"/>
      <c r="E78" s="46"/>
      <c r="F78" s="46"/>
      <c r="G78" s="46"/>
      <c r="H78" s="46"/>
      <c r="I78" s="46"/>
      <c r="J78" s="46"/>
      <c r="K78" s="46"/>
      <c r="L78" s="46"/>
      <c r="M78" s="46"/>
      <c r="N78" s="46"/>
      <c r="O78" s="46"/>
    </row>
    <row r="79" spans="2:15" ht="16.5" customHeight="1" hidden="1">
      <c r="B79" s="46" t="str">
        <f>'Skattemæssige opgørelser'!C66&amp;" jf. særskilt opgørelse"</f>
        <v>Indskudskonto 1/1 2004 jf. særskilt opgørelse</v>
      </c>
      <c r="C79" s="46"/>
      <c r="D79" s="46"/>
      <c r="E79" s="46"/>
      <c r="F79" s="46"/>
      <c r="G79" s="46"/>
      <c r="H79" s="46"/>
      <c r="I79" s="46"/>
      <c r="J79" s="46"/>
      <c r="K79" s="46"/>
      <c r="L79" s="46"/>
      <c r="M79" s="46"/>
      <c r="N79" s="46"/>
      <c r="O79" s="298">
        <f>indskud</f>
        <v>224838</v>
      </c>
    </row>
    <row r="80" spans="2:15" ht="16.5" customHeight="1" hidden="1">
      <c r="B80" s="46" t="str">
        <f>'Skattemæssige opgørelser'!C67&amp;" jf. særskilt opgørelse"</f>
        <v>Indskudskonto 31/12 2004 jf. særskilt opgørelse</v>
      </c>
      <c r="C80" s="46"/>
      <c r="D80" s="46"/>
      <c r="E80" s="46"/>
      <c r="F80" s="46"/>
      <c r="G80" s="46"/>
      <c r="H80" s="46"/>
      <c r="I80" s="46"/>
      <c r="J80" s="46"/>
      <c r="K80" s="313"/>
      <c r="L80" s="309"/>
      <c r="M80" s="309"/>
      <c r="N80" s="309"/>
      <c r="O80" s="311">
        <f>indskud</f>
        <v>224838</v>
      </c>
    </row>
    <row r="81" spans="2:15" ht="16.5" customHeight="1" hidden="1">
      <c r="B81" s="46"/>
      <c r="C81" s="46"/>
      <c r="D81" s="46"/>
      <c r="E81" s="46"/>
      <c r="F81" s="46"/>
      <c r="G81" s="46"/>
      <c r="H81" s="46"/>
      <c r="I81" s="46"/>
      <c r="J81" s="46"/>
      <c r="K81" s="313"/>
      <c r="L81" s="46"/>
      <c r="M81" s="46"/>
      <c r="N81" s="46"/>
      <c r="O81" s="46"/>
    </row>
    <row r="82" spans="2:15" ht="16.5" customHeight="1" hidden="1">
      <c r="B82" s="46" t="str">
        <f>'Skattemæssige opgørelser'!C71</f>
        <v>Opsparet overskud ekskl. virksomhedsskat:</v>
      </c>
      <c r="C82" s="46"/>
      <c r="D82" s="46"/>
      <c r="E82" s="46"/>
      <c r="F82" s="46"/>
      <c r="G82" s="46"/>
      <c r="H82" s="46"/>
      <c r="I82" s="161"/>
      <c r="J82" s="161"/>
      <c r="K82" s="312" t="str">
        <f>primodato</f>
        <v>1/1 2004</v>
      </c>
      <c r="L82" s="46"/>
      <c r="M82" s="312" t="s">
        <v>425</v>
      </c>
      <c r="N82" s="46"/>
      <c r="O82" s="312" t="str">
        <f>ultimodato</f>
        <v>31/12 2004</v>
      </c>
    </row>
    <row r="83" spans="2:15" ht="15" customHeight="1" hidden="1">
      <c r="B83" s="46"/>
      <c r="C83" s="46" t="str">
        <f>'Skattemæssige opgørelser'!C72</f>
        <v>Opsparet overskud ved 50%</v>
      </c>
      <c r="D83" s="46"/>
      <c r="E83" s="46"/>
      <c r="F83" s="46"/>
      <c r="G83" s="46"/>
      <c r="H83" s="46"/>
      <c r="I83" s="46"/>
      <c r="J83" s="46"/>
      <c r="K83" s="310">
        <f>'Skattemæssige opgørelser'!G72</f>
        <v>100000</v>
      </c>
      <c r="L83" s="46"/>
      <c r="M83" s="310">
        <f>'Skattemæssige opgørelser'!E80</f>
        <v>0</v>
      </c>
      <c r="N83" s="46"/>
      <c r="O83" s="310">
        <f>'Skattemæssige opgørelser'!G89</f>
        <v>100000</v>
      </c>
    </row>
    <row r="84" spans="2:15" ht="15" customHeight="1" hidden="1">
      <c r="B84" s="46"/>
      <c r="C84" s="46" t="str">
        <f>'Skattemæssige opgørelser'!C73</f>
        <v>Opsparet overskud ved 38%</v>
      </c>
      <c r="D84" s="46"/>
      <c r="E84" s="46"/>
      <c r="F84" s="46"/>
      <c r="G84" s="46"/>
      <c r="H84" s="46"/>
      <c r="I84" s="46"/>
      <c r="J84" s="46"/>
      <c r="K84" s="310">
        <f>'Skattemæssige opgørelser'!G73</f>
        <v>0</v>
      </c>
      <c r="L84" s="46"/>
      <c r="M84" s="310">
        <f>'Skattemæssige opgørelser'!E81</f>
        <v>0</v>
      </c>
      <c r="N84" s="46"/>
      <c r="O84" s="310">
        <f>'Skattemæssige opgørelser'!G90</f>
        <v>0</v>
      </c>
    </row>
    <row r="85" spans="2:15" ht="15" customHeight="1" hidden="1">
      <c r="B85" s="46"/>
      <c r="C85" s="46" t="str">
        <f>'Skattemæssige opgørelser'!C74</f>
        <v>Opsparet overskud ved 34%</v>
      </c>
      <c r="D85" s="46"/>
      <c r="E85" s="46"/>
      <c r="F85" s="46"/>
      <c r="G85" s="46"/>
      <c r="H85" s="46"/>
      <c r="I85" s="46"/>
      <c r="J85" s="46"/>
      <c r="K85" s="310">
        <f>'Skattemæssige opgørelser'!G74</f>
        <v>0</v>
      </c>
      <c r="L85" s="46"/>
      <c r="M85" s="310">
        <f>'Skattemæssige opgørelser'!E82</f>
        <v>0</v>
      </c>
      <c r="N85" s="46"/>
      <c r="O85" s="310">
        <f>'Skattemæssige opgørelser'!G91</f>
        <v>0</v>
      </c>
    </row>
    <row r="86" spans="2:15" ht="15" customHeight="1" hidden="1">
      <c r="B86" s="46"/>
      <c r="C86" s="46" t="str">
        <f>'Skattemæssige opgørelser'!C75</f>
        <v>Opsparet overskud ved 32%</v>
      </c>
      <c r="D86" s="46"/>
      <c r="E86" s="46"/>
      <c r="F86" s="46"/>
      <c r="G86" s="46"/>
      <c r="H86" s="46"/>
      <c r="I86" s="46"/>
      <c r="J86" s="46"/>
      <c r="K86" s="310">
        <f>'Skattemæssige opgørelser'!G75</f>
        <v>0</v>
      </c>
      <c r="L86" s="46"/>
      <c r="M86" s="310">
        <f>'Skattemæssige opgørelser'!E83</f>
        <v>0</v>
      </c>
      <c r="N86" s="46"/>
      <c r="O86" s="310">
        <f>'Skattemæssige opgørelser'!G92</f>
        <v>0</v>
      </c>
    </row>
    <row r="87" spans="2:15" ht="15" customHeight="1" hidden="1">
      <c r="B87" s="46"/>
      <c r="C87" s="46" t="str">
        <f>'Skattemæssige opgørelser'!C76</f>
        <v>Opsparet overskud ved 30%</v>
      </c>
      <c r="D87" s="46"/>
      <c r="E87" s="46"/>
      <c r="F87" s="46"/>
      <c r="G87" s="46"/>
      <c r="H87" s="46"/>
      <c r="I87" s="46"/>
      <c r="J87" s="46"/>
      <c r="K87" s="310">
        <f>'Skattemæssige opgørelser'!G76</f>
        <v>0</v>
      </c>
      <c r="L87" s="46"/>
      <c r="M87" s="310">
        <f>'Skattemæssige opgørelser'!E84</f>
        <v>0</v>
      </c>
      <c r="N87" s="46"/>
      <c r="O87" s="310">
        <f>'Skattemæssige opgørelser'!G93</f>
        <v>0</v>
      </c>
    </row>
    <row r="88" spans="2:15" ht="15" customHeight="1" hidden="1">
      <c r="B88" s="46"/>
      <c r="C88" s="46"/>
      <c r="D88" s="46"/>
      <c r="E88" s="46"/>
      <c r="F88" s="46"/>
      <c r="G88" s="46"/>
      <c r="H88" s="46"/>
      <c r="I88" s="46"/>
      <c r="J88" s="46"/>
      <c r="K88" s="297">
        <f>'Skattemæssige opgørelser'!G77</f>
        <v>100000</v>
      </c>
      <c r="L88" s="46"/>
      <c r="M88" s="297">
        <f>SUM('Skattemæssige opgørelser'!E80:E84)</f>
        <v>0</v>
      </c>
      <c r="N88" s="46"/>
      <c r="O88" s="297">
        <f>'Skattemæssige opgørelser'!G94</f>
        <v>100000</v>
      </c>
    </row>
    <row r="89" spans="2:15" ht="16.5" customHeight="1" hidden="1" thickBot="1">
      <c r="B89" s="46"/>
      <c r="C89" s="46"/>
      <c r="D89" s="46"/>
      <c r="E89" s="46"/>
      <c r="F89" s="46"/>
      <c r="G89" s="46"/>
      <c r="H89" s="46"/>
      <c r="I89" s="46"/>
      <c r="J89" s="46"/>
      <c r="K89" s="46"/>
      <c r="L89" s="46"/>
      <c r="M89" s="46"/>
      <c r="N89" s="46"/>
      <c r="O89" s="46"/>
    </row>
    <row r="90" spans="2:15" ht="16.5" customHeight="1" hidden="1" thickBot="1" thickTop="1">
      <c r="B90" s="46" t="str">
        <f>'Skattemæssige opgørelser'!C69</f>
        <v>Værdi af fri telefon</v>
      </c>
      <c r="C90" s="46"/>
      <c r="D90" s="46"/>
      <c r="E90" s="46"/>
      <c r="F90" s="46"/>
      <c r="G90" s="46"/>
      <c r="H90" s="46"/>
      <c r="I90" s="46"/>
      <c r="J90" s="46"/>
      <c r="K90" s="315" t="str">
        <f>'Skattemæssige opgørelser'!I125</f>
        <v>Rubrik 15</v>
      </c>
      <c r="L90" s="46"/>
      <c r="M90" s="46"/>
      <c r="N90" s="46"/>
      <c r="O90" s="310">
        <f>'Skattemæssige opgørelser'!G125</f>
        <v>3000</v>
      </c>
    </row>
    <row r="91" spans="2:15" ht="16.5" customHeight="1" hidden="1" thickBot="1" thickTop="1">
      <c r="B91" s="46" t="str">
        <f>'Skattemæssige opgørelser'!C126</f>
        <v>Overskud af selvstændig virksomhed</v>
      </c>
      <c r="C91" s="46"/>
      <c r="D91" s="46"/>
      <c r="E91" s="46"/>
      <c r="F91" s="46"/>
      <c r="G91" s="46"/>
      <c r="H91" s="46"/>
      <c r="I91" s="46"/>
      <c r="J91" s="46"/>
      <c r="K91" s="315" t="str">
        <f>'Skattemæssige opgørelser'!I126</f>
        <v>Rubrik 111</v>
      </c>
      <c r="L91" s="46"/>
      <c r="M91" s="46"/>
      <c r="N91" s="46"/>
      <c r="O91" s="310">
        <f>'Skattemæssige opgørelser'!G126</f>
        <v>745430.75</v>
      </c>
    </row>
    <row r="92" spans="2:15" ht="16.5" customHeight="1" hidden="1" thickBot="1" thickTop="1">
      <c r="B92" s="46" t="str">
        <f>'Skattemæssige opgørelser'!C127</f>
        <v>Underskud af selvstændig virksomhed</v>
      </c>
      <c r="C92" s="46"/>
      <c r="D92" s="46"/>
      <c r="E92" s="46"/>
      <c r="F92" s="46"/>
      <c r="G92" s="46"/>
      <c r="H92" s="46"/>
      <c r="I92" s="46"/>
      <c r="J92" s="46"/>
      <c r="K92" s="315" t="str">
        <f>'Skattemæssige opgørelser'!I127</f>
        <v>Rubrik 112</v>
      </c>
      <c r="L92" s="46"/>
      <c r="M92" s="46"/>
      <c r="N92" s="46"/>
      <c r="O92" s="310">
        <f>'Skattemæssige opgørelser'!G127</f>
        <v>0</v>
      </c>
    </row>
    <row r="93" spans="2:15" ht="16.5" customHeight="1" hidden="1" thickBot="1" thickTop="1">
      <c r="B93" s="46" t="str">
        <f>'Skattemæssige opgørelser'!C128</f>
        <v>Beløb overført til medarbejdende ægtefælle</v>
      </c>
      <c r="C93" s="46"/>
      <c r="D93" s="46"/>
      <c r="E93" s="46"/>
      <c r="F93" s="46"/>
      <c r="G93" s="46"/>
      <c r="H93" s="46"/>
      <c r="I93" s="46"/>
      <c r="J93" s="46"/>
      <c r="K93" s="315" t="str">
        <f>'Skattemæssige opgørelser'!I128</f>
        <v>Rubrik 113</v>
      </c>
      <c r="L93" s="46"/>
      <c r="M93" s="46"/>
      <c r="N93" s="46"/>
      <c r="O93" s="310">
        <f>'Skattemæssige opgørelser'!G128</f>
        <v>0</v>
      </c>
    </row>
    <row r="94" spans="2:15" ht="16.5" customHeight="1" hidden="1" thickBot="1" thickTop="1">
      <c r="B94" s="46" t="str">
        <f>'Skattemæssige opgørelser'!C129</f>
        <v>Renteindtægter i virksomhed</v>
      </c>
      <c r="C94" s="46"/>
      <c r="D94" s="46"/>
      <c r="E94" s="46"/>
      <c r="F94" s="46"/>
      <c r="G94" s="46"/>
      <c r="H94" s="46"/>
      <c r="I94" s="46"/>
      <c r="J94" s="46"/>
      <c r="K94" s="315" t="str">
        <f>'Skattemæssige opgørelser'!I129</f>
        <v>Rubrik 114</v>
      </c>
      <c r="L94" s="46"/>
      <c r="M94" s="46"/>
      <c r="N94" s="46"/>
      <c r="O94" s="310">
        <f>'Skattemæssige opgørelser'!G129</f>
        <v>6985</v>
      </c>
    </row>
    <row r="95" spans="2:15" ht="16.5" customHeight="1" hidden="1" thickBot="1" thickTop="1">
      <c r="B95" s="46" t="str">
        <f>'Skattemæssige opgørelser'!C130</f>
        <v>Renteudgifter i virksomhed</v>
      </c>
      <c r="C95" s="46"/>
      <c r="D95" s="46"/>
      <c r="E95" s="46"/>
      <c r="F95" s="46"/>
      <c r="G95" s="46"/>
      <c r="H95" s="46"/>
      <c r="I95" s="46"/>
      <c r="J95" s="46"/>
      <c r="K95" s="315" t="str">
        <f>'Skattemæssige opgørelser'!I130</f>
        <v>Rubrik 117</v>
      </c>
      <c r="L95" s="46"/>
      <c r="M95" s="46"/>
      <c r="N95" s="46"/>
      <c r="O95" s="310">
        <f>'Skattemæssige opgørelser'!G130</f>
        <v>50176</v>
      </c>
    </row>
    <row r="96" spans="2:15" ht="16.5" customHeight="1" hidden="1" thickBot="1" thickTop="1">
      <c r="B96" s="46" t="str">
        <f>'Skattemæssige opgørelser'!C131</f>
        <v>Kapitalindkomst fra virksomhed</v>
      </c>
      <c r="C96" s="46"/>
      <c r="D96" s="46"/>
      <c r="E96" s="46"/>
      <c r="F96" s="46"/>
      <c r="G96" s="46"/>
      <c r="H96" s="46"/>
      <c r="I96" s="46"/>
      <c r="J96" s="46"/>
      <c r="K96" s="315" t="str">
        <f>'Skattemæssige opgørelser'!I131</f>
        <v>Rubrik 152</v>
      </c>
      <c r="L96" s="46"/>
      <c r="M96" s="46"/>
      <c r="N96" s="46"/>
      <c r="O96" s="310">
        <f>'Skattemæssige opgørelser'!G131</f>
        <v>11242</v>
      </c>
    </row>
    <row r="97" spans="2:15" ht="16.5" customHeight="1" hidden="1" thickBot="1" thickTop="1">
      <c r="B97" s="46" t="str">
        <f>'Skattemæssige opgørelser'!C132</f>
        <v>Opsparet overskud</v>
      </c>
      <c r="C97" s="46"/>
      <c r="D97" s="46"/>
      <c r="E97" s="46"/>
      <c r="F97" s="46"/>
      <c r="G97" s="46"/>
      <c r="H97" s="46"/>
      <c r="I97" s="46"/>
      <c r="J97" s="46"/>
      <c r="K97" s="315" t="str">
        <f>'Skattemæssige opgørelser'!I132</f>
        <v>Rubrik 153</v>
      </c>
      <c r="L97" s="46"/>
      <c r="M97" s="46"/>
      <c r="N97" s="46"/>
      <c r="O97" s="310">
        <f>'Skattemæssige opgørelser'!G132</f>
        <v>431771.4285714286</v>
      </c>
    </row>
    <row r="98" spans="2:15" ht="16.5" customHeight="1" hidden="1" thickBot="1" thickTop="1">
      <c r="B98" s="46" t="str">
        <f>'Skattemæssige opgørelser'!C133</f>
        <v>Rentekorrektion</v>
      </c>
      <c r="C98" s="46"/>
      <c r="D98" s="46"/>
      <c r="E98" s="46"/>
      <c r="F98" s="46"/>
      <c r="G98" s="46"/>
      <c r="H98" s="46"/>
      <c r="I98" s="46"/>
      <c r="J98" s="46"/>
      <c r="K98" s="315" t="str">
        <f>'Skattemæssige opgørelser'!I133</f>
        <v>Rubrik 154</v>
      </c>
      <c r="L98" s="46"/>
      <c r="M98" s="46"/>
      <c r="N98" s="46"/>
      <c r="O98" s="310">
        <f>'Skattemæssige opgørelser'!G133</f>
        <v>0</v>
      </c>
    </row>
    <row r="99" spans="2:15" ht="16.5" customHeight="1" hidden="1" thickBot="1" thickTop="1">
      <c r="B99" s="46" t="str">
        <f>'Skattemæssige opgørelser'!C134</f>
        <v>Overført fra konto for opsparet overskud tillagt skat</v>
      </c>
      <c r="C99" s="46"/>
      <c r="D99" s="46"/>
      <c r="E99" s="46"/>
      <c r="F99" s="46"/>
      <c r="G99" s="46"/>
      <c r="H99" s="46"/>
      <c r="I99" s="46"/>
      <c r="J99" s="46"/>
      <c r="K99" s="315" t="str">
        <f>'Skattemæssige opgørelser'!I134</f>
        <v>Rubrik 155</v>
      </c>
      <c r="L99" s="46"/>
      <c r="M99" s="46"/>
      <c r="N99" s="46"/>
      <c r="O99" s="310">
        <f>'Skattemæssige opgørelser'!G134</f>
        <v>0</v>
      </c>
    </row>
    <row r="100" spans="2:15" ht="16.5" customHeight="1" hidden="1">
      <c r="B100" s="236" t="str">
        <f>'Skattemæssige opgørelser'!C190</f>
        <v>SKATTEOPGØRELSE KAO</v>
      </c>
      <c r="C100" s="161"/>
      <c r="D100" s="46"/>
      <c r="E100" s="46"/>
      <c r="F100" s="46"/>
      <c r="G100" s="46"/>
      <c r="H100" s="46"/>
      <c r="I100" s="46"/>
      <c r="J100" s="46"/>
      <c r="K100" s="46"/>
      <c r="L100" s="46"/>
      <c r="M100" s="46"/>
      <c r="N100" s="46"/>
      <c r="O100" s="46"/>
    </row>
    <row r="101" spans="2:15" ht="16.5" customHeight="1" hidden="1">
      <c r="B101" s="46"/>
      <c r="C101" s="46"/>
      <c r="D101" s="46"/>
      <c r="E101" s="46"/>
      <c r="F101" s="46"/>
      <c r="G101" s="46"/>
      <c r="H101" s="46"/>
      <c r="I101" s="46"/>
      <c r="J101" s="46"/>
      <c r="K101" s="46"/>
      <c r="L101" s="46"/>
      <c r="M101" s="46"/>
      <c r="N101" s="46"/>
      <c r="O101" s="46"/>
    </row>
    <row r="102" spans="2:15" ht="16.5" customHeight="1" hidden="1">
      <c r="B102" s="46" t="str">
        <f>'Skattemæssige opgørelser'!C192</f>
        <v>Årets skattemæssige resultat</v>
      </c>
      <c r="C102" s="46"/>
      <c r="D102" s="46"/>
      <c r="E102" s="46"/>
      <c r="F102" s="46"/>
      <c r="G102" s="46"/>
      <c r="H102" s="46"/>
      <c r="I102" s="46"/>
      <c r="J102" s="46"/>
      <c r="K102" s="46"/>
      <c r="L102" s="46"/>
      <c r="M102" s="46"/>
      <c r="N102" s="46"/>
      <c r="O102" s="310">
        <f>'Skattemæssige opgørelser'!G192</f>
        <v>702239.75</v>
      </c>
    </row>
    <row r="103" spans="2:15" ht="16.5" customHeight="1" hidden="1">
      <c r="B103" s="46" t="str">
        <f>'Skattemæssige opgørelser'!C194</f>
        <v>Eget vareforbrug (tillagt moms)</v>
      </c>
      <c r="C103" s="46"/>
      <c r="D103" s="46"/>
      <c r="E103" s="46"/>
      <c r="F103" s="46"/>
      <c r="G103" s="46"/>
      <c r="H103" s="46"/>
      <c r="I103" s="46"/>
      <c r="J103" s="46"/>
      <c r="K103" s="46"/>
      <c r="L103" s="46"/>
      <c r="M103" s="310">
        <f>'Skattemæssige opgørelser'!G194</f>
        <v>0</v>
      </c>
      <c r="N103" s="46"/>
      <c r="O103" s="46"/>
    </row>
    <row r="104" spans="2:15" ht="16.5" customHeight="1" hidden="1" thickBot="1">
      <c r="B104" s="46" t="str">
        <f>'Skattemæssige opgørelser'!C195</f>
        <v>Privat andel af biludgifter</v>
      </c>
      <c r="C104" s="46"/>
      <c r="D104" s="46"/>
      <c r="E104" s="46"/>
      <c r="F104" s="46"/>
      <c r="G104" s="46"/>
      <c r="H104" s="46"/>
      <c r="I104" s="46"/>
      <c r="J104" s="46"/>
      <c r="K104" s="46"/>
      <c r="L104" s="46"/>
      <c r="M104" s="311">
        <f>'Skattemæssige opgørelser'!G195</f>
        <v>0</v>
      </c>
      <c r="N104" s="309"/>
      <c r="O104" s="311">
        <f>SUM('Skattemæssige opgørelser'!G194:G195)</f>
        <v>0</v>
      </c>
    </row>
    <row r="105" spans="2:15" ht="16.5" customHeight="1" hidden="1" thickBot="1" thickTop="1">
      <c r="B105" s="46" t="str">
        <f>'Skattemæssige opgørelser'!C196</f>
        <v>Overskud af selvstændig virksomhed</v>
      </c>
      <c r="C105" s="46"/>
      <c r="D105" s="46"/>
      <c r="E105" s="46"/>
      <c r="F105" s="46"/>
      <c r="G105" s="46"/>
      <c r="H105" s="46"/>
      <c r="I105" s="46"/>
      <c r="J105" s="46"/>
      <c r="K105" s="315" t="str">
        <f>'Skattemæssige opgørelser'!I196</f>
        <v>Rubrik 111</v>
      </c>
      <c r="L105" s="46"/>
      <c r="M105" s="46"/>
      <c r="N105" s="46"/>
      <c r="O105" s="310">
        <f>'Skattemæssige opgørelser'!G196</f>
        <v>702239.75</v>
      </c>
    </row>
    <row r="106" spans="2:15" ht="16.5" customHeight="1" hidden="1" thickBot="1" thickTop="1">
      <c r="B106" s="46" t="str">
        <f>'Skattemæssige opgørelser'!C197</f>
        <v>Underskud af selvstændig virksomhed</v>
      </c>
      <c r="C106" s="46"/>
      <c r="D106" s="46"/>
      <c r="E106" s="46"/>
      <c r="F106" s="46"/>
      <c r="G106" s="46"/>
      <c r="H106" s="46"/>
      <c r="I106" s="46"/>
      <c r="J106" s="46"/>
      <c r="K106" s="315" t="str">
        <f>'Skattemæssige opgørelser'!I197</f>
        <v>Rubrik 112</v>
      </c>
      <c r="L106" s="46"/>
      <c r="M106" s="309"/>
      <c r="N106" s="309"/>
      <c r="O106" s="311">
        <f>'Skattemæssige opgørelser'!G197</f>
        <v>0</v>
      </c>
    </row>
    <row r="107" spans="2:15" ht="16.5" customHeight="1" hidden="1" thickTop="1">
      <c r="B107" s="46"/>
      <c r="C107" s="46"/>
      <c r="D107" s="46"/>
      <c r="E107" s="46"/>
      <c r="F107" s="46"/>
      <c r="G107" s="46"/>
      <c r="H107" s="46"/>
      <c r="I107" s="46"/>
      <c r="J107" s="46"/>
      <c r="K107" s="161"/>
      <c r="L107" s="46"/>
      <c r="M107" s="46"/>
      <c r="N107" s="46"/>
      <c r="O107" s="46"/>
    </row>
    <row r="108" spans="2:15" ht="16.5" customHeight="1" hidden="1" thickBot="1">
      <c r="B108" s="46" t="s">
        <v>422</v>
      </c>
      <c r="C108" s="46"/>
      <c r="D108" s="46"/>
      <c r="E108" s="46"/>
      <c r="F108" s="46"/>
      <c r="G108" s="46"/>
      <c r="H108" s="46"/>
      <c r="I108" s="46"/>
      <c r="J108" s="46"/>
      <c r="K108" s="46"/>
      <c r="L108" s="46"/>
      <c r="M108" s="310">
        <f>'Skattemæssige opgørelser'!G199/ksats*100%</f>
        <v>1358380</v>
      </c>
      <c r="N108" s="46"/>
      <c r="O108" s="46"/>
    </row>
    <row r="109" spans="2:15" ht="16.5" customHeight="1" hidden="1" thickBot="1" thickTop="1">
      <c r="B109" s="46" t="str">
        <f>'Skattemæssige opgørelser'!C199&amp;" ("&amp;TEXT(ksats,"0%")&amp;" x "&amp;TEXT(M108,"###.###.##0")&amp;")"</f>
        <v>Beregnet kapitalafkast (5% x 1.358.380)</v>
      </c>
      <c r="C109" s="46"/>
      <c r="D109" s="46"/>
      <c r="E109" s="46"/>
      <c r="F109" s="46"/>
      <c r="G109" s="46"/>
      <c r="H109" s="46"/>
      <c r="I109" s="46"/>
      <c r="J109" s="46"/>
      <c r="K109" s="315" t="str">
        <f>'Skattemæssige opgørelser'!I199</f>
        <v>Rubrik 142</v>
      </c>
      <c r="L109" s="313"/>
      <c r="M109" s="311">
        <f>'Skattemæssige opgørelser'!G199</f>
        <v>67919</v>
      </c>
      <c r="N109" s="309"/>
      <c r="O109" s="311">
        <f>'Skattemæssige opgørelser'!G199</f>
        <v>67919</v>
      </c>
    </row>
    <row r="110" spans="2:15" ht="16.5" customHeight="1" hidden="1" thickTop="1">
      <c r="B110" s="46"/>
      <c r="C110" s="46"/>
      <c r="D110" s="46"/>
      <c r="E110" s="46"/>
      <c r="F110" s="46"/>
      <c r="G110" s="46"/>
      <c r="H110" s="46"/>
      <c r="I110" s="46"/>
      <c r="J110" s="46"/>
      <c r="K110" s="46"/>
      <c r="L110" s="46"/>
      <c r="M110" s="46"/>
      <c r="N110" s="46"/>
      <c r="O110" s="46"/>
    </row>
    <row r="111" spans="2:15" ht="16.5" customHeight="1" hidden="1" thickBot="1">
      <c r="B111" s="46" t="str">
        <f>'Skattemæssige opgørelser'!C201</f>
        <v>Overført til eller fra konjunkturudligningskonto:</v>
      </c>
      <c r="C111" s="46"/>
      <c r="D111" s="46"/>
      <c r="E111" s="46"/>
      <c r="F111" s="46"/>
      <c r="G111" s="46"/>
      <c r="H111" s="46"/>
      <c r="I111" s="46"/>
      <c r="J111" s="46"/>
      <c r="K111" s="46"/>
      <c r="L111" s="46"/>
      <c r="M111" s="46"/>
      <c r="N111" s="46"/>
      <c r="O111" s="46"/>
    </row>
    <row r="112" spans="2:15" ht="16.5" customHeight="1" hidden="1" thickBot="1" thickTop="1">
      <c r="B112" s="46" t="str">
        <f>'Skattemæssige opgørelser'!C202</f>
        <v>Til konjunkturudligningskonto (fra 5.000 kr. til 175.560 kr.)</v>
      </c>
      <c r="C112" s="46"/>
      <c r="D112" s="46"/>
      <c r="E112" s="46"/>
      <c r="F112" s="46"/>
      <c r="G112" s="46"/>
      <c r="H112" s="46"/>
      <c r="I112" s="46"/>
      <c r="J112" s="46"/>
      <c r="K112" s="315" t="str">
        <f>'Skattemæssige opgørelser'!I202</f>
        <v>Rubrik 143</v>
      </c>
      <c r="L112" s="46"/>
      <c r="M112" s="46"/>
      <c r="N112" s="46"/>
      <c r="O112" s="310">
        <f>'Skattemæssige opgørelser'!G202</f>
        <v>150000</v>
      </c>
    </row>
    <row r="113" spans="2:15" ht="16.5" customHeight="1" hidden="1" thickBot="1" thickTop="1">
      <c r="B113" s="46" t="str">
        <f>'Skattemæssige opgørelser'!C203</f>
        <v>Fra konjunkturudligningskonto tillagt skat </v>
      </c>
      <c r="C113" s="46"/>
      <c r="D113" s="46"/>
      <c r="E113" s="46"/>
      <c r="F113" s="46"/>
      <c r="G113" s="46"/>
      <c r="H113" s="46"/>
      <c r="I113" s="46"/>
      <c r="J113" s="46"/>
      <c r="K113" s="315" t="str">
        <f>'Skattemæssige opgørelser'!I203</f>
        <v>Rubrik 144</v>
      </c>
      <c r="L113" s="46"/>
      <c r="M113" s="309"/>
      <c r="N113" s="309"/>
      <c r="O113" s="311">
        <f>'Skattemæssige opgørelser'!G203</f>
        <v>0</v>
      </c>
    </row>
    <row r="114" spans="2:15" ht="16.5" customHeight="1" hidden="1" thickBot="1" thickTop="1">
      <c r="B114" s="46"/>
      <c r="C114" s="46"/>
      <c r="D114" s="46"/>
      <c r="E114" s="46"/>
      <c r="F114" s="46"/>
      <c r="G114" s="46"/>
      <c r="H114" s="46"/>
      <c r="I114" s="46"/>
      <c r="J114" s="46"/>
      <c r="K114" s="46"/>
      <c r="L114" s="46"/>
      <c r="M114" s="46"/>
      <c r="N114" s="46"/>
      <c r="O114" s="46"/>
    </row>
    <row r="115" spans="2:15" ht="16.5" customHeight="1" hidden="1" thickBot="1" thickTop="1">
      <c r="B115" s="46" t="str">
        <f>'Skattemæssige opgørelser'!C205</f>
        <v>Værdi af fri telefon</v>
      </c>
      <c r="C115" s="46"/>
      <c r="D115" s="46"/>
      <c r="E115" s="46"/>
      <c r="F115" s="46"/>
      <c r="G115" s="46"/>
      <c r="H115" s="46"/>
      <c r="I115" s="46"/>
      <c r="J115" s="46"/>
      <c r="K115" s="315" t="str">
        <f>'Skattemæssige opgørelser'!I205</f>
        <v>Rubrik 15</v>
      </c>
      <c r="L115" s="46"/>
      <c r="M115" s="46"/>
      <c r="N115" s="46"/>
      <c r="O115" s="311">
        <f>'Skattemæssige opgørelser'!G205</f>
        <v>3000</v>
      </c>
    </row>
    <row r="116" spans="2:15" ht="16.5" customHeight="1" hidden="1" thickTop="1">
      <c r="B116" s="46"/>
      <c r="C116" s="46"/>
      <c r="D116" s="46"/>
      <c r="E116" s="46"/>
      <c r="F116" s="46"/>
      <c r="G116" s="46"/>
      <c r="H116" s="46"/>
      <c r="I116" s="46"/>
      <c r="J116" s="46"/>
      <c r="K116" s="46"/>
      <c r="L116" s="46"/>
      <c r="M116" s="46"/>
      <c r="N116" s="46"/>
      <c r="O116" s="46"/>
    </row>
    <row r="117" spans="2:15" ht="25.5" customHeight="1" hidden="1">
      <c r="B117" s="437" t="str">
        <f>'Skattemæssige opgørelser'!C207</f>
        <v>Alle såvel private som erhvervsmæssige renteindtægter og renteudgifter påføres selvangivelsen under kapitalindkomst og fradrag i kapitalindkomst.</v>
      </c>
      <c r="C117" s="437"/>
      <c r="D117" s="437"/>
      <c r="E117" s="437"/>
      <c r="F117" s="437"/>
      <c r="G117" s="437"/>
      <c r="H117" s="437"/>
      <c r="I117" s="437"/>
      <c r="J117" s="437"/>
      <c r="K117" s="437"/>
      <c r="L117" s="437"/>
      <c r="M117" s="437"/>
      <c r="N117" s="437"/>
      <c r="O117" s="437"/>
    </row>
    <row r="118" spans="2:15" ht="16.5" customHeight="1" hidden="1">
      <c r="B118" s="46"/>
      <c r="C118" s="46"/>
      <c r="D118" s="46"/>
      <c r="E118" s="46"/>
      <c r="F118" s="46"/>
      <c r="G118" s="46"/>
      <c r="H118" s="46"/>
      <c r="I118" s="46"/>
      <c r="J118" s="46"/>
      <c r="K118" s="46"/>
      <c r="L118" s="46"/>
      <c r="M118" s="46"/>
      <c r="N118" s="46"/>
      <c r="O118" s="46"/>
    </row>
    <row r="119" spans="2:15" ht="16.5" customHeight="1">
      <c r="B119" s="236" t="str">
        <f>'Skattemæssige opgørelser'!C208</f>
        <v>SKATTEOPGØRELSE ApS</v>
      </c>
      <c r="C119" s="46"/>
      <c r="D119" s="46"/>
      <c r="E119" s="46"/>
      <c r="F119" s="46"/>
      <c r="G119" s="46"/>
      <c r="H119" s="46"/>
      <c r="I119" s="46"/>
      <c r="J119" s="46"/>
      <c r="K119" s="46"/>
      <c r="L119" s="46"/>
      <c r="M119" s="46"/>
      <c r="N119" s="46"/>
      <c r="O119" s="46"/>
    </row>
    <row r="120" spans="2:15" ht="16.5" customHeight="1">
      <c r="B120" s="46"/>
      <c r="C120" s="46"/>
      <c r="D120" s="46"/>
      <c r="E120" s="46"/>
      <c r="F120" s="46"/>
      <c r="G120" s="46"/>
      <c r="H120" s="46"/>
      <c r="I120" s="46"/>
      <c r="J120" s="46"/>
      <c r="K120" s="46"/>
      <c r="L120" s="46"/>
      <c r="M120" s="46"/>
      <c r="N120" s="46"/>
      <c r="O120" s="46"/>
    </row>
    <row r="121" spans="2:15" ht="16.5" customHeight="1">
      <c r="B121" s="46" t="str">
        <f>'Skattemæssige opgørelser'!C210</f>
        <v>Årets skattepligtige resultat</v>
      </c>
      <c r="C121" s="46"/>
      <c r="D121" s="46"/>
      <c r="E121" s="46"/>
      <c r="F121" s="46"/>
      <c r="G121" s="46"/>
      <c r="H121" s="46"/>
      <c r="I121" s="46"/>
      <c r="J121" s="46"/>
      <c r="K121" s="46"/>
      <c r="L121" s="46"/>
      <c r="M121" s="46"/>
      <c r="N121" s="46"/>
      <c r="O121" s="310">
        <f>'Skattemæssige opgørelser'!G210</f>
        <v>702239.75</v>
      </c>
    </row>
    <row r="122" spans="2:15" ht="16.5" customHeight="1">
      <c r="B122" s="46"/>
      <c r="C122" s="46"/>
      <c r="D122" s="46"/>
      <c r="E122" s="46"/>
      <c r="F122" s="46"/>
      <c r="G122" s="46"/>
      <c r="H122" s="46"/>
      <c r="I122" s="46"/>
      <c r="J122" s="46"/>
      <c r="K122" s="46"/>
      <c r="L122" s="46"/>
      <c r="M122" s="46"/>
      <c r="N122" s="46"/>
      <c r="O122" s="46"/>
    </row>
    <row r="123" spans="2:15" ht="16.5" customHeight="1">
      <c r="B123" s="46" t="str">
        <f>'Skattemæssige opgørelser'!C212</f>
        <v>Selskabsskat af årets skattepligtige resultat (30%)</v>
      </c>
      <c r="C123" s="46"/>
      <c r="D123" s="46"/>
      <c r="E123" s="46"/>
      <c r="F123" s="46"/>
      <c r="G123" s="46"/>
      <c r="H123" s="46"/>
      <c r="I123" s="46"/>
      <c r="J123" s="46"/>
      <c r="K123" s="46"/>
      <c r="L123" s="46"/>
      <c r="M123" s="46"/>
      <c r="N123" s="46"/>
      <c r="O123" s="310">
        <f>'Skattemæssige opgørelser'!G212</f>
        <v>210671.925</v>
      </c>
    </row>
    <row r="124" spans="2:15" ht="16.5" customHeight="1">
      <c r="B124" s="46"/>
      <c r="C124" s="46"/>
      <c r="D124" s="46"/>
      <c r="E124" s="46"/>
      <c r="F124" s="46"/>
      <c r="G124" s="46"/>
      <c r="H124" s="46"/>
      <c r="I124" s="46"/>
      <c r="J124" s="46"/>
      <c r="K124" s="46"/>
      <c r="L124" s="46"/>
      <c r="M124" s="46"/>
      <c r="N124" s="46"/>
      <c r="O124" s="46"/>
    </row>
    <row r="125" ht="16.5" customHeight="1" hidden="1"/>
    <row r="126" ht="16.5" customHeight="1" hidden="1"/>
  </sheetData>
  <mergeCells count="4">
    <mergeCell ref="B2:O2"/>
    <mergeCell ref="B44:O44"/>
    <mergeCell ref="B63:O63"/>
    <mergeCell ref="B117:O117"/>
  </mergeCells>
  <printOptions/>
  <pageMargins left="0.984251968503937" right="0.3937007874015748" top="0.3937007874015748" bottom="0.3937007874015748" header="0" footer="0"/>
  <pageSetup horizontalDpi="600" verticalDpi="600" orientation="portrait" paperSize="9" r:id="rId1"/>
  <rowBreaks count="1" manualBreakCount="1">
    <brk id="43" max="255" man="1"/>
  </rowBreaks>
</worksheet>
</file>

<file path=xl/worksheets/sheet16.xml><?xml version="1.0" encoding="utf-8"?>
<worksheet xmlns="http://schemas.openxmlformats.org/spreadsheetml/2006/main" xmlns:r="http://schemas.openxmlformats.org/officeDocument/2006/relationships">
  <sheetPr codeName="Ark3"/>
  <dimension ref="A1:L32"/>
  <sheetViews>
    <sheetView showGridLines="0" showRowColHeaders="0" workbookViewId="0" topLeftCell="A1">
      <selection activeCell="A1" sqref="A1"/>
    </sheetView>
  </sheetViews>
  <sheetFormatPr defaultColWidth="9.140625" defaultRowHeight="12.75"/>
  <cols>
    <col min="1" max="5" width="9.140625" style="1" customWidth="1"/>
    <col min="6" max="6" width="20.7109375" style="1" customWidth="1"/>
    <col min="7" max="10" width="15.7109375" style="1" customWidth="1"/>
    <col min="11" max="16384" width="9.140625" style="1" customWidth="1"/>
  </cols>
  <sheetData>
    <row r="1" spans="1:12" ht="12.75">
      <c r="A1" s="51"/>
      <c r="B1" s="51"/>
      <c r="C1" s="51"/>
      <c r="D1" s="51"/>
      <c r="E1" s="51"/>
      <c r="F1" s="51"/>
      <c r="G1" s="51"/>
      <c r="H1" s="51"/>
      <c r="I1" s="51"/>
      <c r="J1" s="51"/>
      <c r="K1" s="51"/>
      <c r="L1" s="51"/>
    </row>
    <row r="2" spans="1:12" ht="12.75">
      <c r="A2" s="51"/>
      <c r="B2" s="51"/>
      <c r="C2" s="51"/>
      <c r="D2" s="51"/>
      <c r="E2" s="51"/>
      <c r="F2" s="51"/>
      <c r="G2" s="51"/>
      <c r="H2" s="51"/>
      <c r="I2" s="51"/>
      <c r="J2" s="51"/>
      <c r="K2" s="51"/>
      <c r="L2" s="51"/>
    </row>
    <row r="3" spans="1:12" ht="12.75">
      <c r="A3" s="51"/>
      <c r="B3" s="51"/>
      <c r="C3" s="51"/>
      <c r="D3" s="51"/>
      <c r="E3" s="51"/>
      <c r="F3" s="51"/>
      <c r="G3" s="51"/>
      <c r="H3" s="51"/>
      <c r="I3" s="51"/>
      <c r="J3" s="51"/>
      <c r="K3" s="51"/>
      <c r="L3" s="51"/>
    </row>
    <row r="4" spans="1:12" ht="12.75">
      <c r="A4" s="51"/>
      <c r="B4" s="51"/>
      <c r="C4" s="51"/>
      <c r="D4" s="51"/>
      <c r="E4" s="51"/>
      <c r="F4" s="51"/>
      <c r="G4" s="51"/>
      <c r="H4" s="51"/>
      <c r="I4" s="51"/>
      <c r="J4" s="51"/>
      <c r="K4" s="51"/>
      <c r="L4" s="51"/>
    </row>
    <row r="5" spans="1:12" ht="12.75">
      <c r="A5" s="51"/>
      <c r="B5" s="51"/>
      <c r="C5" s="51"/>
      <c r="D5" s="51"/>
      <c r="E5" s="51"/>
      <c r="F5" s="51" t="s">
        <v>105</v>
      </c>
      <c r="G5" s="56" t="s">
        <v>106</v>
      </c>
      <c r="H5" s="56" t="s">
        <v>107</v>
      </c>
      <c r="I5" s="56" t="s">
        <v>108</v>
      </c>
      <c r="J5" s="56" t="s">
        <v>109</v>
      </c>
      <c r="K5" s="51"/>
      <c r="L5" s="51"/>
    </row>
    <row r="6" spans="1:12" ht="12.75">
      <c r="A6" s="51"/>
      <c r="B6" s="438" t="s">
        <v>91</v>
      </c>
      <c r="C6" s="438"/>
      <c r="D6" s="438"/>
      <c r="E6" s="438"/>
      <c r="F6" s="57" t="s">
        <v>92</v>
      </c>
      <c r="G6" s="58"/>
      <c r="H6" s="58"/>
      <c r="I6" s="58"/>
      <c r="J6" s="59"/>
      <c r="K6" s="51"/>
      <c r="L6" s="51"/>
    </row>
    <row r="7" spans="1:12" ht="12.75">
      <c r="A7" s="51"/>
      <c r="B7" s="438" t="s">
        <v>93</v>
      </c>
      <c r="C7" s="438"/>
      <c r="D7" s="438"/>
      <c r="E7" s="438"/>
      <c r="F7" s="57" t="s">
        <v>94</v>
      </c>
      <c r="G7" s="58"/>
      <c r="H7" s="58"/>
      <c r="I7" s="58"/>
      <c r="J7" s="59"/>
      <c r="K7" s="51"/>
      <c r="L7" s="51"/>
    </row>
    <row r="8" spans="1:12" ht="12.75">
      <c r="A8" s="51"/>
      <c r="B8" s="438"/>
      <c r="C8" s="438"/>
      <c r="D8" s="438"/>
      <c r="E8" s="438"/>
      <c r="F8" s="57"/>
      <c r="G8" s="58"/>
      <c r="H8" s="58"/>
      <c r="I8" s="58"/>
      <c r="J8" s="59"/>
      <c r="K8" s="51"/>
      <c r="L8" s="51"/>
    </row>
    <row r="9" spans="1:12" ht="12.75">
      <c r="A9" s="51"/>
      <c r="B9" s="438"/>
      <c r="C9" s="438"/>
      <c r="D9" s="438"/>
      <c r="E9" s="438"/>
      <c r="F9" s="57"/>
      <c r="G9" s="58"/>
      <c r="H9" s="58"/>
      <c r="I9" s="58"/>
      <c r="J9" s="59"/>
      <c r="K9" s="51"/>
      <c r="L9" s="51"/>
    </row>
    <row r="10" spans="1:12" ht="12.75">
      <c r="A10" s="51"/>
      <c r="B10" s="438"/>
      <c r="C10" s="438"/>
      <c r="D10" s="438"/>
      <c r="E10" s="438"/>
      <c r="F10" s="57"/>
      <c r="G10" s="58"/>
      <c r="H10" s="58"/>
      <c r="I10" s="58"/>
      <c r="J10" s="59"/>
      <c r="K10" s="51"/>
      <c r="L10" s="51"/>
    </row>
    <row r="11" spans="1:12" ht="12.75">
      <c r="A11" s="51"/>
      <c r="B11" s="438"/>
      <c r="C11" s="438"/>
      <c r="D11" s="438"/>
      <c r="E11" s="438"/>
      <c r="F11" s="57"/>
      <c r="G11" s="58"/>
      <c r="H11" s="58"/>
      <c r="I11" s="58"/>
      <c r="J11" s="59"/>
      <c r="K11" s="51"/>
      <c r="L11" s="51"/>
    </row>
    <row r="12" spans="1:12" ht="12.75">
      <c r="A12" s="51"/>
      <c r="B12" s="442" t="s">
        <v>361</v>
      </c>
      <c r="C12" s="442"/>
      <c r="D12" s="442"/>
      <c r="E12" s="442"/>
      <c r="F12" s="57"/>
      <c r="G12" s="58"/>
      <c r="H12" s="58"/>
      <c r="I12" s="58"/>
      <c r="J12" s="59"/>
      <c r="K12" s="51"/>
      <c r="L12" s="51"/>
    </row>
    <row r="13" spans="1:12" ht="12.75">
      <c r="A13" s="51"/>
      <c r="B13" s="438" t="s">
        <v>362</v>
      </c>
      <c r="C13" s="438"/>
      <c r="D13" s="438"/>
      <c r="E13" s="438"/>
      <c r="F13" s="251">
        <v>0.3</v>
      </c>
      <c r="G13" s="58"/>
      <c r="H13" s="58"/>
      <c r="I13" s="58"/>
      <c r="J13" s="59"/>
      <c r="K13" s="51"/>
      <c r="L13" s="51"/>
    </row>
    <row r="14" spans="1:12" ht="12.75">
      <c r="A14" s="51"/>
      <c r="B14" s="438" t="s">
        <v>423</v>
      </c>
      <c r="C14" s="438"/>
      <c r="D14" s="438"/>
      <c r="E14" s="438"/>
      <c r="F14" s="251">
        <v>0.05</v>
      </c>
      <c r="G14" s="58"/>
      <c r="H14" s="58"/>
      <c r="I14" s="58"/>
      <c r="J14" s="59"/>
      <c r="K14" s="51"/>
      <c r="L14" s="51"/>
    </row>
    <row r="15" spans="1:12" ht="12.75">
      <c r="A15" s="51"/>
      <c r="B15" s="438" t="s">
        <v>433</v>
      </c>
      <c r="C15" s="438"/>
      <c r="D15" s="438"/>
      <c r="E15" s="438"/>
      <c r="F15" s="251">
        <v>0.08</v>
      </c>
      <c r="G15" s="58"/>
      <c r="H15" s="58"/>
      <c r="I15" s="58"/>
      <c r="J15" s="59"/>
      <c r="K15" s="51"/>
      <c r="L15" s="51"/>
    </row>
    <row r="16" spans="1:12" ht="12.75">
      <c r="A16" s="51"/>
      <c r="B16" s="438" t="s">
        <v>436</v>
      </c>
      <c r="C16" s="438"/>
      <c r="D16" s="438"/>
      <c r="E16" s="438"/>
      <c r="F16" s="57">
        <v>40100</v>
      </c>
      <c r="G16" s="58"/>
      <c r="H16" s="58"/>
      <c r="I16" s="58"/>
      <c r="J16" s="59"/>
      <c r="K16" s="51"/>
      <c r="L16" s="51"/>
    </row>
    <row r="17" spans="1:12" ht="12.75">
      <c r="A17" s="51"/>
      <c r="B17" s="438"/>
      <c r="C17" s="438"/>
      <c r="D17" s="438"/>
      <c r="E17" s="438"/>
      <c r="F17" s="57"/>
      <c r="G17" s="58"/>
      <c r="H17" s="58"/>
      <c r="I17" s="58"/>
      <c r="J17" s="59"/>
      <c r="K17" s="51"/>
      <c r="L17" s="51"/>
    </row>
    <row r="18" spans="1:12" ht="12.75">
      <c r="A18" s="51"/>
      <c r="B18" s="55" t="s">
        <v>104</v>
      </c>
      <c r="C18" s="51"/>
      <c r="D18" s="51"/>
      <c r="E18" s="51"/>
      <c r="F18" s="57"/>
      <c r="G18" s="58"/>
      <c r="H18" s="58"/>
      <c r="I18" s="58"/>
      <c r="J18" s="59"/>
      <c r="K18" s="51"/>
      <c r="L18" s="51"/>
    </row>
    <row r="19" spans="1:12" ht="12.75">
      <c r="A19" s="51"/>
      <c r="B19" s="441" t="s">
        <v>113</v>
      </c>
      <c r="C19" s="441"/>
      <c r="D19" s="441"/>
      <c r="E19" s="441"/>
      <c r="F19" s="57"/>
      <c r="G19" s="439" t="s">
        <v>114</v>
      </c>
      <c r="H19" s="439"/>
      <c r="I19" s="440"/>
      <c r="J19" s="59" t="s">
        <v>115</v>
      </c>
      <c r="K19" s="51"/>
      <c r="L19" s="51"/>
    </row>
    <row r="20" spans="1:12" ht="12.75">
      <c r="A20" s="51"/>
      <c r="B20" s="441" t="s">
        <v>110</v>
      </c>
      <c r="C20" s="441"/>
      <c r="D20" s="441"/>
      <c r="E20" s="441"/>
      <c r="F20" s="57"/>
      <c r="G20" s="439" t="s">
        <v>111</v>
      </c>
      <c r="H20" s="439"/>
      <c r="I20" s="440"/>
      <c r="J20" s="59" t="s">
        <v>112</v>
      </c>
      <c r="K20" s="51"/>
      <c r="L20" s="51"/>
    </row>
    <row r="21" spans="1:12" ht="12.75">
      <c r="A21" s="51"/>
      <c r="B21" s="441" t="s">
        <v>116</v>
      </c>
      <c r="C21" s="441"/>
      <c r="D21" s="441"/>
      <c r="E21" s="441"/>
      <c r="F21" s="57"/>
      <c r="G21" s="439" t="s">
        <v>116</v>
      </c>
      <c r="H21" s="439"/>
      <c r="I21" s="440"/>
      <c r="J21" s="59" t="s">
        <v>116</v>
      </c>
      <c r="K21" s="51"/>
      <c r="L21" s="51"/>
    </row>
    <row r="22" spans="1:12" ht="12.75">
      <c r="A22" s="51"/>
      <c r="B22" s="441"/>
      <c r="C22" s="441"/>
      <c r="D22" s="441"/>
      <c r="E22" s="441"/>
      <c r="F22" s="57"/>
      <c r="G22" s="439"/>
      <c r="H22" s="439"/>
      <c r="I22" s="440"/>
      <c r="J22" s="59"/>
      <c r="K22" s="51"/>
      <c r="L22" s="51"/>
    </row>
    <row r="23" spans="1:12" ht="12.75">
      <c r="A23" s="51"/>
      <c r="B23" s="441"/>
      <c r="C23" s="441"/>
      <c r="D23" s="441"/>
      <c r="E23" s="441"/>
      <c r="F23" s="57"/>
      <c r="G23" s="439"/>
      <c r="H23" s="439"/>
      <c r="I23" s="440"/>
      <c r="J23" s="59"/>
      <c r="K23" s="51"/>
      <c r="L23" s="51"/>
    </row>
    <row r="24" spans="1:12" ht="12.75">
      <c r="A24" s="51"/>
      <c r="B24" s="441"/>
      <c r="C24" s="441"/>
      <c r="D24" s="441"/>
      <c r="E24" s="441"/>
      <c r="F24" s="57"/>
      <c r="G24" s="439"/>
      <c r="H24" s="439"/>
      <c r="I24" s="440"/>
      <c r="J24" s="59"/>
      <c r="K24" s="51"/>
      <c r="L24" s="51"/>
    </row>
    <row r="25" spans="1:12" ht="12.75">
      <c r="A25" s="51"/>
      <c r="B25" s="441"/>
      <c r="C25" s="441"/>
      <c r="D25" s="441"/>
      <c r="E25" s="441"/>
      <c r="F25" s="57"/>
      <c r="G25" s="439"/>
      <c r="H25" s="439"/>
      <c r="I25" s="440"/>
      <c r="J25" s="59"/>
      <c r="K25" s="51"/>
      <c r="L25" s="51"/>
    </row>
    <row r="26" spans="1:12" ht="12.75">
      <c r="A26" s="51"/>
      <c r="B26" s="441"/>
      <c r="C26" s="441"/>
      <c r="D26" s="441"/>
      <c r="E26" s="441"/>
      <c r="F26" s="57"/>
      <c r="G26" s="439"/>
      <c r="H26" s="439"/>
      <c r="I26" s="440"/>
      <c r="J26" s="59"/>
      <c r="K26" s="51"/>
      <c r="L26" s="51"/>
    </row>
    <row r="27" spans="1:12" ht="12.75">
      <c r="A27" s="51"/>
      <c r="B27" s="441"/>
      <c r="C27" s="441"/>
      <c r="D27" s="441"/>
      <c r="E27" s="441"/>
      <c r="F27" s="57"/>
      <c r="G27" s="439"/>
      <c r="H27" s="439"/>
      <c r="I27" s="440"/>
      <c r="J27" s="59"/>
      <c r="K27" s="51"/>
      <c r="L27" s="51"/>
    </row>
    <row r="28" spans="1:12" ht="12.75">
      <c r="A28" s="51"/>
      <c r="B28" s="441"/>
      <c r="C28" s="441"/>
      <c r="D28" s="441"/>
      <c r="E28" s="441"/>
      <c r="F28" s="57"/>
      <c r="G28" s="439"/>
      <c r="H28" s="439"/>
      <c r="I28" s="440"/>
      <c r="J28" s="59"/>
      <c r="K28" s="51"/>
      <c r="L28" s="51"/>
    </row>
    <row r="29" spans="1:12" ht="12.75">
      <c r="A29" s="51"/>
      <c r="B29" s="51"/>
      <c r="C29" s="51"/>
      <c r="D29" s="51"/>
      <c r="E29" s="51"/>
      <c r="F29" s="51"/>
      <c r="G29" s="51"/>
      <c r="H29" s="51"/>
      <c r="I29" s="51"/>
      <c r="J29" s="51"/>
      <c r="K29" s="51"/>
      <c r="L29" s="51"/>
    </row>
    <row r="30" spans="1:12" ht="12.75">
      <c r="A30" s="51"/>
      <c r="B30" s="51"/>
      <c r="C30" s="51"/>
      <c r="D30" s="51"/>
      <c r="E30" s="51"/>
      <c r="F30" s="51"/>
      <c r="G30" s="51"/>
      <c r="H30" s="51"/>
      <c r="I30" s="51"/>
      <c r="J30" s="51"/>
      <c r="K30" s="51"/>
      <c r="L30" s="51"/>
    </row>
    <row r="31" spans="1:12" ht="12.75">
      <c r="A31" s="51"/>
      <c r="B31" s="51"/>
      <c r="C31" s="51"/>
      <c r="D31" s="51"/>
      <c r="E31" s="51"/>
      <c r="F31" s="51"/>
      <c r="G31" s="51"/>
      <c r="H31" s="51"/>
      <c r="I31" s="51"/>
      <c r="J31" s="51"/>
      <c r="K31" s="51"/>
      <c r="L31" s="51"/>
    </row>
    <row r="32" spans="1:12" ht="12.75">
      <c r="A32" s="51"/>
      <c r="B32" s="51"/>
      <c r="C32" s="51"/>
      <c r="D32" s="51"/>
      <c r="E32" s="51"/>
      <c r="F32" s="51"/>
      <c r="G32" s="51"/>
      <c r="H32" s="51"/>
      <c r="I32" s="51"/>
      <c r="J32" s="51"/>
      <c r="K32" s="51"/>
      <c r="L32" s="51"/>
    </row>
  </sheetData>
  <mergeCells count="32">
    <mergeCell ref="B10:E10"/>
    <mergeCell ref="B11:E11"/>
    <mergeCell ref="B12:E12"/>
    <mergeCell ref="B13:E13"/>
    <mergeCell ref="B6:E6"/>
    <mergeCell ref="B7:E7"/>
    <mergeCell ref="B8:E8"/>
    <mergeCell ref="B9:E9"/>
    <mergeCell ref="B25:E25"/>
    <mergeCell ref="B26:E26"/>
    <mergeCell ref="B27:E27"/>
    <mergeCell ref="B28:E28"/>
    <mergeCell ref="B21:E21"/>
    <mergeCell ref="B22:E22"/>
    <mergeCell ref="B23:E23"/>
    <mergeCell ref="B24:E24"/>
    <mergeCell ref="G25:I25"/>
    <mergeCell ref="G26:I26"/>
    <mergeCell ref="G27:I27"/>
    <mergeCell ref="G28:I28"/>
    <mergeCell ref="G21:I21"/>
    <mergeCell ref="G22:I22"/>
    <mergeCell ref="G23:I23"/>
    <mergeCell ref="G24:I24"/>
    <mergeCell ref="B16:E16"/>
    <mergeCell ref="B15:E15"/>
    <mergeCell ref="B14:E14"/>
    <mergeCell ref="G20:I20"/>
    <mergeCell ref="B20:E20"/>
    <mergeCell ref="B19:E19"/>
    <mergeCell ref="G19:I19"/>
    <mergeCell ref="B17:E17"/>
  </mergeCells>
  <printOptions/>
  <pageMargins left="0.984251968503937"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10"/>
  <dimension ref="B2:I92"/>
  <sheetViews>
    <sheetView showGridLines="0" showRowColHeaders="0" workbookViewId="0" topLeftCell="A1">
      <pane ySplit="3" topLeftCell="BM4" activePane="bottomLeft" state="frozen"/>
      <selection pane="topLeft" activeCell="A1" sqref="A1"/>
      <selection pane="bottomLeft" activeCell="A4" sqref="A4"/>
    </sheetView>
  </sheetViews>
  <sheetFormatPr defaultColWidth="9.140625" defaultRowHeight="11.25" customHeight="1"/>
  <cols>
    <col min="1" max="1" width="1.7109375" style="2" customWidth="1"/>
    <col min="2" max="2" width="25.7109375" style="3" customWidth="1"/>
    <col min="3" max="7" width="10.7109375" style="2" customWidth="1"/>
    <col min="8" max="8" width="1.7109375" style="2" customWidth="1"/>
    <col min="9" max="9" width="0" style="2" hidden="1" customWidth="1"/>
    <col min="10" max="10" width="1.7109375" style="2" customWidth="1"/>
    <col min="11" max="16384" width="10.28125" style="2" customWidth="1"/>
  </cols>
  <sheetData>
    <row r="1" ht="7.5" customHeight="1"/>
    <row r="2" spans="2:8" ht="31.5" customHeight="1">
      <c r="B2" s="66" t="s">
        <v>117</v>
      </c>
      <c r="C2" s="353" t="s">
        <v>0</v>
      </c>
      <c r="D2" s="353"/>
      <c r="E2" s="353"/>
      <c r="F2" s="67"/>
      <c r="G2" s="351" t="s">
        <v>118</v>
      </c>
      <c r="H2" s="352"/>
    </row>
    <row r="3" spans="2:8" ht="12" customHeight="1">
      <c r="B3" s="334"/>
      <c r="C3" s="331"/>
      <c r="D3" s="331"/>
      <c r="E3" s="331"/>
      <c r="F3" s="331"/>
      <c r="G3" s="331"/>
      <c r="H3" s="332"/>
    </row>
    <row r="4" spans="2:8" ht="12" customHeight="1">
      <c r="B4" s="63"/>
      <c r="C4" s="64"/>
      <c r="D4" s="64"/>
      <c r="E4" s="64"/>
      <c r="F4" s="64"/>
      <c r="G4" s="64"/>
      <c r="H4" s="65"/>
    </row>
    <row r="5" spans="2:8" ht="12" customHeight="1">
      <c r="B5" s="19" t="s">
        <v>1</v>
      </c>
      <c r="C5" s="9"/>
      <c r="D5" s="9"/>
      <c r="E5" s="9"/>
      <c r="F5" s="9"/>
      <c r="G5" s="9"/>
      <c r="H5" s="20"/>
    </row>
    <row r="6" spans="2:8" ht="12" customHeight="1">
      <c r="B6" s="21"/>
      <c r="C6" s="11" t="s">
        <v>33</v>
      </c>
      <c r="D6" s="11" t="s">
        <v>34</v>
      </c>
      <c r="E6" s="11" t="s">
        <v>35</v>
      </c>
      <c r="F6" s="11" t="s">
        <v>34</v>
      </c>
      <c r="G6" s="11" t="s">
        <v>43</v>
      </c>
      <c r="H6" s="20"/>
    </row>
    <row r="7" spans="2:8" ht="12" customHeight="1">
      <c r="B7" s="21" t="s">
        <v>2</v>
      </c>
      <c r="C7" s="31">
        <v>2004</v>
      </c>
      <c r="D7" s="30" t="s">
        <v>47</v>
      </c>
      <c r="E7" s="32" t="s">
        <v>38</v>
      </c>
      <c r="F7" s="30" t="s">
        <v>44</v>
      </c>
      <c r="G7" s="30" t="s">
        <v>40</v>
      </c>
      <c r="H7" s="22"/>
    </row>
    <row r="8" spans="2:8" ht="12" customHeight="1">
      <c r="B8" s="21" t="s">
        <v>3</v>
      </c>
      <c r="C8" s="31">
        <v>2003</v>
      </c>
      <c r="D8" s="30" t="s">
        <v>47</v>
      </c>
      <c r="E8" s="32" t="s">
        <v>38</v>
      </c>
      <c r="F8" s="30" t="s">
        <v>44</v>
      </c>
      <c r="G8" s="30" t="s">
        <v>40</v>
      </c>
      <c r="H8" s="22"/>
    </row>
    <row r="9" spans="2:8" ht="12" customHeight="1">
      <c r="B9" s="21" t="s">
        <v>4</v>
      </c>
      <c r="C9" s="33">
        <v>2005</v>
      </c>
      <c r="D9" s="30" t="s">
        <v>47</v>
      </c>
      <c r="E9" s="32" t="s">
        <v>38</v>
      </c>
      <c r="F9" s="30" t="s">
        <v>44</v>
      </c>
      <c r="G9" s="30" t="s">
        <v>40</v>
      </c>
      <c r="H9" s="22"/>
    </row>
    <row r="10" spans="2:8" ht="12" customHeight="1">
      <c r="B10" s="21" t="s">
        <v>5</v>
      </c>
      <c r="C10" s="30">
        <v>1</v>
      </c>
      <c r="D10" s="34"/>
      <c r="E10" s="34"/>
      <c r="F10" s="34"/>
      <c r="G10" s="34"/>
      <c r="H10" s="22"/>
    </row>
    <row r="11" spans="2:8" ht="12" customHeight="1">
      <c r="B11" s="21"/>
      <c r="C11" s="12"/>
      <c r="D11" s="12"/>
      <c r="E11" s="12"/>
      <c r="F11" s="12"/>
      <c r="G11" s="12"/>
      <c r="H11" s="22"/>
    </row>
    <row r="12" spans="2:8" ht="12" customHeight="1">
      <c r="B12" s="21" t="s">
        <v>6</v>
      </c>
      <c r="C12" s="365" t="s">
        <v>39</v>
      </c>
      <c r="D12" s="365"/>
      <c r="E12" s="12"/>
      <c r="F12" s="12"/>
      <c r="G12" s="12"/>
      <c r="H12" s="22"/>
    </row>
    <row r="13" spans="2:8" ht="12" customHeight="1">
      <c r="B13" s="21" t="s">
        <v>7</v>
      </c>
      <c r="C13" s="365" t="s">
        <v>40</v>
      </c>
      <c r="D13" s="365"/>
      <c r="E13" s="12"/>
      <c r="F13" s="12"/>
      <c r="H13" s="22"/>
    </row>
    <row r="14" spans="2:8" ht="12" customHeight="1">
      <c r="B14" s="21"/>
      <c r="C14" s="12"/>
      <c r="D14" s="12"/>
      <c r="E14" s="12"/>
      <c r="F14" s="12"/>
      <c r="H14" s="22"/>
    </row>
    <row r="15" spans="2:8" ht="12" customHeight="1">
      <c r="B15" s="21" t="s">
        <v>8</v>
      </c>
      <c r="C15" s="365" t="s">
        <v>41</v>
      </c>
      <c r="D15" s="365"/>
      <c r="E15" s="12"/>
      <c r="F15" s="12"/>
      <c r="H15" s="22"/>
    </row>
    <row r="16" spans="2:8" ht="12" customHeight="1">
      <c r="B16" s="21" t="s">
        <v>9</v>
      </c>
      <c r="C16" s="365" t="s">
        <v>42</v>
      </c>
      <c r="D16" s="365"/>
      <c r="E16" s="12"/>
      <c r="F16" s="12"/>
      <c r="H16" s="22"/>
    </row>
    <row r="17" spans="2:8" ht="12" customHeight="1">
      <c r="B17" s="21" t="s">
        <v>10</v>
      </c>
      <c r="C17" s="365" t="s">
        <v>42</v>
      </c>
      <c r="D17" s="365"/>
      <c r="E17" s="12"/>
      <c r="F17" s="12"/>
      <c r="H17" s="22"/>
    </row>
    <row r="18" spans="2:8" ht="12" customHeight="1">
      <c r="B18" s="21"/>
      <c r="C18" s="12"/>
      <c r="D18" s="12"/>
      <c r="E18" s="12"/>
      <c r="F18" s="12"/>
      <c r="G18" s="12"/>
      <c r="H18" s="22"/>
    </row>
    <row r="19" spans="2:8" ht="12" customHeight="1">
      <c r="B19" s="21"/>
      <c r="C19" s="14" t="s">
        <v>45</v>
      </c>
      <c r="D19" s="333" t="s">
        <v>46</v>
      </c>
      <c r="E19" s="333"/>
      <c r="F19" s="13"/>
      <c r="G19" s="12"/>
      <c r="H19" s="22"/>
    </row>
    <row r="20" spans="2:8" ht="12" customHeight="1">
      <c r="B20" s="21" t="s">
        <v>11</v>
      </c>
      <c r="C20" s="35" t="s">
        <v>48</v>
      </c>
      <c r="D20" s="338" t="s">
        <v>49</v>
      </c>
      <c r="E20" s="338"/>
      <c r="F20" s="12"/>
      <c r="G20" s="12"/>
      <c r="H20" s="22"/>
    </row>
    <row r="21" spans="2:8" ht="12" customHeight="1">
      <c r="B21" s="21" t="s">
        <v>12</v>
      </c>
      <c r="C21" s="36" t="s">
        <v>36</v>
      </c>
      <c r="D21" s="339" t="s">
        <v>37</v>
      </c>
      <c r="E21" s="339"/>
      <c r="F21" s="12"/>
      <c r="G21" s="12"/>
      <c r="H21" s="22"/>
    </row>
    <row r="22" spans="2:8" ht="12" customHeight="1">
      <c r="B22" s="21"/>
      <c r="C22" s="12"/>
      <c r="D22" s="12"/>
      <c r="E22" s="12"/>
      <c r="F22" s="12"/>
      <c r="G22" s="12"/>
      <c r="H22" s="22"/>
    </row>
    <row r="23" spans="2:8" ht="12" customHeight="1">
      <c r="B23" s="21" t="s">
        <v>13</v>
      </c>
      <c r="C23" s="10" t="s">
        <v>288</v>
      </c>
      <c r="D23" s="12"/>
      <c r="E23" s="12"/>
      <c r="F23" s="12"/>
      <c r="G23" s="12"/>
      <c r="H23" s="22"/>
    </row>
    <row r="24" spans="2:8" ht="12" customHeight="1">
      <c r="B24" s="21" t="s">
        <v>14</v>
      </c>
      <c r="C24" s="10" t="s">
        <v>288</v>
      </c>
      <c r="D24" s="12"/>
      <c r="E24" s="12"/>
      <c r="F24" s="12"/>
      <c r="G24" s="12"/>
      <c r="H24" s="22"/>
    </row>
    <row r="25" spans="2:8" ht="12" customHeight="1">
      <c r="B25" s="21"/>
      <c r="C25" s="12"/>
      <c r="D25" s="12"/>
      <c r="E25" s="12"/>
      <c r="F25" s="12"/>
      <c r="G25" s="12"/>
      <c r="H25" s="22"/>
    </row>
    <row r="26" spans="2:8" ht="12" customHeight="1">
      <c r="B26" s="21" t="s">
        <v>100</v>
      </c>
      <c r="C26" s="357" t="s">
        <v>49</v>
      </c>
      <c r="D26" s="357"/>
      <c r="E26" s="12"/>
      <c r="F26" s="12"/>
      <c r="G26" s="12"/>
      <c r="H26" s="22"/>
    </row>
    <row r="27" spans="2:8" ht="12" customHeight="1">
      <c r="B27" s="21"/>
      <c r="C27" s="12"/>
      <c r="D27" s="12"/>
      <c r="E27" s="12"/>
      <c r="F27" s="12"/>
      <c r="G27" s="12"/>
      <c r="H27" s="22"/>
    </row>
    <row r="28" spans="2:8" ht="12" customHeight="1">
      <c r="B28" s="21"/>
      <c r="C28" s="9"/>
      <c r="D28" s="9"/>
      <c r="E28" s="9"/>
      <c r="F28" s="9"/>
      <c r="G28" s="9"/>
      <c r="H28" s="20"/>
    </row>
    <row r="29" spans="2:8" ht="12" customHeight="1">
      <c r="B29" s="19" t="s">
        <v>0</v>
      </c>
      <c r="C29" s="9"/>
      <c r="D29" s="9"/>
      <c r="E29" s="9"/>
      <c r="F29" s="9"/>
      <c r="G29" s="9"/>
      <c r="H29" s="20"/>
    </row>
    <row r="30" spans="2:8" ht="12" customHeight="1">
      <c r="B30" s="21"/>
      <c r="C30" s="9"/>
      <c r="D30" s="9"/>
      <c r="E30" s="9"/>
      <c r="F30" s="9"/>
      <c r="G30" s="9"/>
      <c r="H30" s="20"/>
    </row>
    <row r="31" spans="2:8" ht="12" customHeight="1">
      <c r="B31" s="21" t="s">
        <v>16</v>
      </c>
      <c r="C31" s="364" t="s">
        <v>411</v>
      </c>
      <c r="D31" s="364"/>
      <c r="E31" s="364"/>
      <c r="F31" s="364"/>
      <c r="G31" s="134">
        <f>LEN(fnavn1)</f>
        <v>7</v>
      </c>
      <c r="H31" s="20"/>
    </row>
    <row r="32" spans="2:8" ht="12" customHeight="1">
      <c r="B32" s="21" t="s">
        <v>17</v>
      </c>
      <c r="C32" s="364" t="s">
        <v>412</v>
      </c>
      <c r="D32" s="364"/>
      <c r="E32" s="364"/>
      <c r="F32" s="364"/>
      <c r="G32" s="134">
        <f>LEN(fnavn2)</f>
        <v>7</v>
      </c>
      <c r="H32" s="20"/>
    </row>
    <row r="33" spans="2:8" ht="12" customHeight="1">
      <c r="B33" s="21" t="s">
        <v>18</v>
      </c>
      <c r="C33" s="364" t="s">
        <v>59</v>
      </c>
      <c r="D33" s="364"/>
      <c r="E33" s="364"/>
      <c r="F33" s="364"/>
      <c r="G33" s="9"/>
      <c r="H33" s="20"/>
    </row>
    <row r="34" spans="2:8" ht="12" customHeight="1">
      <c r="B34" s="21" t="s">
        <v>57</v>
      </c>
      <c r="C34" s="29">
        <v>1234</v>
      </c>
      <c r="D34" s="17"/>
      <c r="E34" s="17"/>
      <c r="F34" s="17"/>
      <c r="G34" s="9"/>
      <c r="H34" s="20"/>
    </row>
    <row r="35" spans="2:8" ht="12" customHeight="1">
      <c r="B35" s="21" t="s">
        <v>58</v>
      </c>
      <c r="C35" s="335" t="s">
        <v>86</v>
      </c>
      <c r="D35" s="335"/>
      <c r="E35" s="17"/>
      <c r="F35" s="17"/>
      <c r="G35" s="9"/>
      <c r="H35" s="20"/>
    </row>
    <row r="36" spans="2:8" ht="12" customHeight="1">
      <c r="B36" s="21" t="s">
        <v>19</v>
      </c>
      <c r="C36" s="15" t="s">
        <v>87</v>
      </c>
      <c r="D36" s="9"/>
      <c r="E36" s="9"/>
      <c r="F36" s="9"/>
      <c r="G36" s="9"/>
      <c r="H36" s="20"/>
    </row>
    <row r="37" spans="2:8" ht="12" customHeight="1">
      <c r="B37" s="21" t="s">
        <v>20</v>
      </c>
      <c r="C37" s="16" t="s">
        <v>88</v>
      </c>
      <c r="D37" s="9"/>
      <c r="E37" s="9"/>
      <c r="F37" s="9"/>
      <c r="G37" s="9"/>
      <c r="H37" s="20"/>
    </row>
    <row r="38" spans="2:8" ht="12" customHeight="1">
      <c r="B38" s="21" t="s">
        <v>21</v>
      </c>
      <c r="C38" s="336" t="s">
        <v>89</v>
      </c>
      <c r="D38" s="336"/>
      <c r="E38" s="336"/>
      <c r="F38" s="9"/>
      <c r="H38" s="20"/>
    </row>
    <row r="39" spans="2:8" ht="12" customHeight="1">
      <c r="B39" s="21" t="s">
        <v>22</v>
      </c>
      <c r="C39" s="337" t="s">
        <v>90</v>
      </c>
      <c r="D39" s="337"/>
      <c r="E39" s="337"/>
      <c r="F39" s="9"/>
      <c r="H39" s="20"/>
    </row>
    <row r="40" spans="2:8" ht="12" customHeight="1">
      <c r="B40" s="21" t="s">
        <v>23</v>
      </c>
      <c r="C40" s="18">
        <v>18192021</v>
      </c>
      <c r="D40" s="9"/>
      <c r="E40" s="9"/>
      <c r="F40" s="9"/>
      <c r="H40" s="20"/>
    </row>
    <row r="41" spans="2:8" ht="12" customHeight="1">
      <c r="B41" s="21" t="s">
        <v>24</v>
      </c>
      <c r="C41" s="364" t="s">
        <v>364</v>
      </c>
      <c r="D41" s="364"/>
      <c r="E41" s="9"/>
      <c r="F41" s="9"/>
      <c r="G41" s="9"/>
      <c r="H41" s="20"/>
    </row>
    <row r="42" spans="2:8" ht="12" customHeight="1">
      <c r="B42" s="21"/>
      <c r="C42" s="9"/>
      <c r="D42" s="9"/>
      <c r="E42" s="9"/>
      <c r="F42" s="9"/>
      <c r="G42" s="9"/>
      <c r="H42" s="20"/>
    </row>
    <row r="43" spans="2:8" ht="12" customHeight="1">
      <c r="B43" s="21" t="s">
        <v>54</v>
      </c>
      <c r="C43" s="364" t="s">
        <v>413</v>
      </c>
      <c r="D43" s="364"/>
      <c r="E43" s="364"/>
      <c r="F43" s="9"/>
      <c r="G43" s="9"/>
      <c r="H43" s="20"/>
    </row>
    <row r="44" spans="2:8" ht="12" customHeight="1">
      <c r="B44" s="21" t="s">
        <v>55</v>
      </c>
      <c r="C44" s="364" t="s">
        <v>56</v>
      </c>
      <c r="D44" s="364"/>
      <c r="E44" s="364"/>
      <c r="F44" s="9"/>
      <c r="G44" s="9"/>
      <c r="H44" s="20"/>
    </row>
    <row r="45" spans="2:8" ht="12" customHeight="1">
      <c r="B45" s="23"/>
      <c r="C45" s="84"/>
      <c r="D45" s="84"/>
      <c r="E45" s="84"/>
      <c r="F45" s="84"/>
      <c r="G45" s="84"/>
      <c r="H45" s="85"/>
    </row>
    <row r="46" spans="2:8" ht="7.5" customHeight="1">
      <c r="B46" s="87"/>
      <c r="C46" s="88"/>
      <c r="D46" s="88"/>
      <c r="E46" s="88"/>
      <c r="F46" s="88"/>
      <c r="G46" s="88"/>
      <c r="H46" s="88"/>
    </row>
    <row r="47" spans="2:9" ht="7.5" customHeight="1">
      <c r="B47" s="86"/>
      <c r="C47" s="84"/>
      <c r="D47" s="84"/>
      <c r="E47" s="84"/>
      <c r="F47" s="84"/>
      <c r="G47" s="84"/>
      <c r="H47" s="84"/>
      <c r="I47" s="37" t="b">
        <v>0</v>
      </c>
    </row>
    <row r="48" spans="2:9" ht="12" customHeight="1">
      <c r="B48" s="89"/>
      <c r="C48" s="88"/>
      <c r="D48" s="88"/>
      <c r="E48" s="88"/>
      <c r="F48" s="88"/>
      <c r="G48" s="88"/>
      <c r="H48" s="90"/>
      <c r="I48" s="37"/>
    </row>
    <row r="49" spans="2:8" ht="12" customHeight="1">
      <c r="B49" s="21"/>
      <c r="C49" s="9"/>
      <c r="D49" s="9"/>
      <c r="E49" s="9"/>
      <c r="F49" s="9"/>
      <c r="G49" s="9"/>
      <c r="H49" s="20"/>
    </row>
    <row r="50" spans="2:8" ht="12" customHeight="1">
      <c r="B50" s="21"/>
      <c r="C50" s="9"/>
      <c r="D50" s="9"/>
      <c r="E50" s="9"/>
      <c r="F50" s="9"/>
      <c r="G50" s="9"/>
      <c r="H50" s="20"/>
    </row>
    <row r="51" spans="2:8" ht="12" customHeight="1">
      <c r="B51" s="21" t="s">
        <v>224</v>
      </c>
      <c r="C51" s="364" t="s">
        <v>414</v>
      </c>
      <c r="D51" s="364"/>
      <c r="E51" s="364"/>
      <c r="F51" s="9"/>
      <c r="G51" s="9"/>
      <c r="H51" s="20"/>
    </row>
    <row r="52" spans="2:8" ht="12" customHeight="1">
      <c r="B52" s="21" t="s">
        <v>25</v>
      </c>
      <c r="C52" s="364" t="s">
        <v>415</v>
      </c>
      <c r="D52" s="364"/>
      <c r="E52" s="364"/>
      <c r="F52" s="9"/>
      <c r="G52" s="9"/>
      <c r="H52" s="20"/>
    </row>
    <row r="53" spans="2:8" ht="12" customHeight="1">
      <c r="B53" s="21" t="s">
        <v>26</v>
      </c>
      <c r="C53" s="364" t="s">
        <v>416</v>
      </c>
      <c r="D53" s="364"/>
      <c r="E53" s="364"/>
      <c r="F53" s="9"/>
      <c r="G53" s="9"/>
      <c r="H53" s="20"/>
    </row>
    <row r="54" spans="2:8" ht="12" customHeight="1">
      <c r="B54" s="21" t="s">
        <v>27</v>
      </c>
      <c r="C54" s="364" t="s">
        <v>417</v>
      </c>
      <c r="D54" s="364"/>
      <c r="E54" s="364"/>
      <c r="F54" s="9"/>
      <c r="G54" s="9"/>
      <c r="H54" s="20"/>
    </row>
    <row r="55" spans="2:8" ht="12" customHeight="1">
      <c r="B55" s="21" t="s">
        <v>28</v>
      </c>
      <c r="C55" s="364" t="s">
        <v>418</v>
      </c>
      <c r="D55" s="364"/>
      <c r="E55" s="364"/>
      <c r="F55" s="9"/>
      <c r="G55" s="9"/>
      <c r="H55" s="20"/>
    </row>
    <row r="56" spans="2:8" ht="12" customHeight="1">
      <c r="B56" s="21" t="s">
        <v>28</v>
      </c>
      <c r="C56" s="364" t="s">
        <v>419</v>
      </c>
      <c r="D56" s="364"/>
      <c r="E56" s="364"/>
      <c r="F56" s="9"/>
      <c r="G56" s="9"/>
      <c r="H56" s="20"/>
    </row>
    <row r="57" spans="2:8" ht="12" customHeight="1">
      <c r="B57" s="21"/>
      <c r="C57" s="363"/>
      <c r="D57" s="363"/>
      <c r="E57" s="363"/>
      <c r="F57" s="9"/>
      <c r="G57" s="9"/>
      <c r="H57" s="20"/>
    </row>
    <row r="58" spans="2:8" ht="12" customHeight="1">
      <c r="B58" s="21" t="s">
        <v>29</v>
      </c>
      <c r="C58" s="364" t="s">
        <v>413</v>
      </c>
      <c r="D58" s="364"/>
      <c r="E58" s="364"/>
      <c r="F58" s="9"/>
      <c r="G58" s="9"/>
      <c r="H58" s="20"/>
    </row>
    <row r="59" spans="2:8" ht="12" customHeight="1">
      <c r="B59" s="21"/>
      <c r="C59" s="363"/>
      <c r="D59" s="363"/>
      <c r="E59" s="363"/>
      <c r="F59" s="9"/>
      <c r="G59" s="9"/>
      <c r="H59" s="20"/>
    </row>
    <row r="60" spans="2:8" ht="12" customHeight="1">
      <c r="B60" s="21" t="s">
        <v>30</v>
      </c>
      <c r="C60" s="364" t="s">
        <v>60</v>
      </c>
      <c r="D60" s="364"/>
      <c r="E60" s="364"/>
      <c r="F60" s="9"/>
      <c r="G60" s="9"/>
      <c r="H60" s="20"/>
    </row>
    <row r="61" spans="2:8" ht="12" customHeight="1">
      <c r="B61" s="21"/>
      <c r="C61" s="364" t="s">
        <v>31</v>
      </c>
      <c r="D61" s="364"/>
      <c r="E61" s="364"/>
      <c r="F61" s="9"/>
      <c r="G61" s="9"/>
      <c r="H61" s="20"/>
    </row>
    <row r="62" spans="2:8" ht="12" customHeight="1">
      <c r="B62" s="21"/>
      <c r="C62" s="364" t="s">
        <v>61</v>
      </c>
      <c r="D62" s="364"/>
      <c r="E62" s="364"/>
      <c r="F62" s="9"/>
      <c r="G62" s="9"/>
      <c r="H62" s="20"/>
    </row>
    <row r="63" spans="2:8" ht="12" customHeight="1">
      <c r="B63" s="21"/>
      <c r="C63" s="364" t="s">
        <v>62</v>
      </c>
      <c r="D63" s="364"/>
      <c r="E63" s="364"/>
      <c r="F63" s="9"/>
      <c r="G63" s="9"/>
      <c r="H63" s="20"/>
    </row>
    <row r="64" spans="2:8" ht="12" customHeight="1">
      <c r="B64" s="21"/>
      <c r="C64" s="363"/>
      <c r="D64" s="363"/>
      <c r="E64" s="363"/>
      <c r="F64" s="9"/>
      <c r="G64" s="9"/>
      <c r="H64" s="20"/>
    </row>
    <row r="65" spans="2:8" ht="12" customHeight="1">
      <c r="B65" s="21" t="s">
        <v>50</v>
      </c>
      <c r="C65" s="364" t="s">
        <v>52</v>
      </c>
      <c r="D65" s="364"/>
      <c r="E65" s="364"/>
      <c r="F65" s="9"/>
      <c r="G65" s="9"/>
      <c r="H65" s="20"/>
    </row>
    <row r="66" spans="2:8" ht="12" customHeight="1">
      <c r="B66" s="21" t="s">
        <v>51</v>
      </c>
      <c r="C66" s="364" t="s">
        <v>53</v>
      </c>
      <c r="D66" s="364"/>
      <c r="E66" s="364"/>
      <c r="F66" s="9"/>
      <c r="G66" s="9"/>
      <c r="H66" s="20"/>
    </row>
    <row r="67" spans="2:8" ht="12" customHeight="1">
      <c r="B67" s="21"/>
      <c r="C67" s="9"/>
      <c r="D67" s="9"/>
      <c r="E67" s="9"/>
      <c r="F67" s="9"/>
      <c r="G67" s="9"/>
      <c r="H67" s="20"/>
    </row>
    <row r="68" spans="2:8" ht="12" customHeight="1">
      <c r="B68" s="21" t="s">
        <v>66</v>
      </c>
      <c r="C68" s="358" t="s">
        <v>103</v>
      </c>
      <c r="D68" s="359"/>
      <c r="E68" s="9"/>
      <c r="F68" s="9"/>
      <c r="G68" s="9"/>
      <c r="H68" s="20"/>
    </row>
    <row r="69" spans="2:8" ht="12" customHeight="1">
      <c r="B69" s="21"/>
      <c r="C69" s="363"/>
      <c r="D69" s="363"/>
      <c r="E69" s="363"/>
      <c r="F69" s="9"/>
      <c r="G69" s="9"/>
      <c r="H69" s="20"/>
    </row>
    <row r="70" spans="2:8" ht="12" customHeight="1">
      <c r="B70" s="19" t="s">
        <v>32</v>
      </c>
      <c r="C70" s="9"/>
      <c r="D70" s="9"/>
      <c r="E70" s="9"/>
      <c r="F70" s="9"/>
      <c r="G70" s="9"/>
      <c r="H70" s="20"/>
    </row>
    <row r="71" spans="2:8" ht="12" customHeight="1">
      <c r="B71" s="21"/>
      <c r="C71" s="360"/>
      <c r="D71" s="361"/>
      <c r="E71" s="361"/>
      <c r="F71" s="361"/>
      <c r="G71" s="362"/>
      <c r="H71" s="27"/>
    </row>
    <row r="72" spans="2:8" ht="12" customHeight="1">
      <c r="B72" s="21"/>
      <c r="C72" s="354"/>
      <c r="D72" s="355"/>
      <c r="E72" s="355"/>
      <c r="F72" s="355"/>
      <c r="G72" s="356"/>
      <c r="H72" s="28"/>
    </row>
    <row r="73" spans="2:8" ht="12" customHeight="1">
      <c r="B73" s="21"/>
      <c r="C73" s="354"/>
      <c r="D73" s="355"/>
      <c r="E73" s="355"/>
      <c r="F73" s="355"/>
      <c r="G73" s="356"/>
      <c r="H73" s="28"/>
    </row>
    <row r="74" spans="2:8" ht="12" customHeight="1">
      <c r="B74" s="21"/>
      <c r="C74" s="354"/>
      <c r="D74" s="355"/>
      <c r="E74" s="355"/>
      <c r="F74" s="355"/>
      <c r="G74" s="356"/>
      <c r="H74" s="28"/>
    </row>
    <row r="75" spans="2:8" ht="12" customHeight="1">
      <c r="B75" s="21"/>
      <c r="C75" s="354"/>
      <c r="D75" s="355"/>
      <c r="E75" s="355"/>
      <c r="F75" s="355"/>
      <c r="G75" s="356"/>
      <c r="H75" s="28"/>
    </row>
    <row r="76" spans="2:8" ht="12" customHeight="1">
      <c r="B76" s="23"/>
      <c r="C76" s="24"/>
      <c r="D76" s="24"/>
      <c r="E76" s="24"/>
      <c r="F76" s="25"/>
      <c r="G76" s="25"/>
      <c r="H76" s="26"/>
    </row>
    <row r="77" spans="3:8" ht="7.5" customHeight="1">
      <c r="C77" s="4"/>
      <c r="D77" s="5"/>
      <c r="E77" s="4"/>
      <c r="F77" s="6"/>
      <c r="G77" s="6"/>
      <c r="H77" s="6"/>
    </row>
    <row r="78" spans="3:8" ht="12" customHeight="1">
      <c r="C78" s="4"/>
      <c r="D78" s="4"/>
      <c r="E78" s="4"/>
      <c r="F78" s="6"/>
      <c r="G78" s="6"/>
      <c r="H78" s="6"/>
    </row>
    <row r="79" spans="3:8" ht="12" customHeight="1">
      <c r="C79" s="4"/>
      <c r="D79" s="7"/>
      <c r="E79" s="4"/>
      <c r="F79" s="6"/>
      <c r="G79" s="6"/>
      <c r="H79" s="6"/>
    </row>
    <row r="80" spans="3:8" ht="12" customHeight="1">
      <c r="C80" s="4"/>
      <c r="D80" s="4"/>
      <c r="E80" s="4"/>
      <c r="F80" s="6"/>
      <c r="G80" s="6"/>
      <c r="H80" s="6"/>
    </row>
    <row r="81" spans="3:8" ht="12" customHeight="1">
      <c r="C81" s="4"/>
      <c r="D81" s="4"/>
      <c r="E81" s="4"/>
      <c r="F81" s="6"/>
      <c r="G81" s="6"/>
      <c r="H81" s="6"/>
    </row>
    <row r="82" spans="3:8" ht="12" customHeight="1">
      <c r="C82" s="4"/>
      <c r="D82" s="4"/>
      <c r="E82" s="4"/>
      <c r="F82" s="6"/>
      <c r="G82" s="6"/>
      <c r="H82" s="6"/>
    </row>
    <row r="83" spans="3:8" ht="12" customHeight="1">
      <c r="C83" s="4"/>
      <c r="D83" s="4"/>
      <c r="E83" s="4"/>
      <c r="F83" s="6"/>
      <c r="G83" s="6"/>
      <c r="H83" s="6"/>
    </row>
    <row r="84" spans="3:8" ht="12" customHeight="1">
      <c r="C84" s="4"/>
      <c r="D84" s="5"/>
      <c r="E84" s="4"/>
      <c r="F84" s="6"/>
      <c r="G84" s="6"/>
      <c r="H84" s="6"/>
    </row>
    <row r="85" spans="3:8" ht="12" customHeight="1">
      <c r="C85" s="4"/>
      <c r="D85" s="5"/>
      <c r="E85" s="4"/>
      <c r="F85" s="6"/>
      <c r="G85" s="6"/>
      <c r="H85" s="6"/>
    </row>
    <row r="86" spans="3:8" ht="12" customHeight="1">
      <c r="C86" s="4"/>
      <c r="D86" s="4"/>
      <c r="E86" s="4"/>
      <c r="F86" s="8"/>
      <c r="G86" s="6"/>
      <c r="H86" s="8"/>
    </row>
    <row r="87" spans="3:8" ht="12" customHeight="1">
      <c r="C87" s="4"/>
      <c r="D87" s="4"/>
      <c r="E87" s="4"/>
      <c r="F87" s="6"/>
      <c r="G87" s="6"/>
      <c r="H87" s="6"/>
    </row>
    <row r="88" spans="3:8" ht="12" customHeight="1">
      <c r="C88" s="4"/>
      <c r="D88" s="4"/>
      <c r="E88" s="4"/>
      <c r="F88" s="6"/>
      <c r="G88" s="6"/>
      <c r="H88" s="6"/>
    </row>
    <row r="89" spans="3:8" ht="12" customHeight="1">
      <c r="C89" s="4"/>
      <c r="D89" s="4"/>
      <c r="E89" s="4"/>
      <c r="F89" s="6"/>
      <c r="G89" s="6"/>
      <c r="H89" s="6"/>
    </row>
    <row r="90" spans="3:8" ht="12" customHeight="1">
      <c r="C90" s="4"/>
      <c r="D90" s="4"/>
      <c r="E90" s="4"/>
      <c r="F90" s="6"/>
      <c r="G90" s="6"/>
      <c r="H90" s="6"/>
    </row>
    <row r="91" spans="3:8" ht="12" customHeight="1">
      <c r="C91" s="4"/>
      <c r="D91" s="4"/>
      <c r="E91" s="4"/>
      <c r="F91" s="6"/>
      <c r="G91" s="6"/>
      <c r="H91" s="6"/>
    </row>
    <row r="92" spans="3:8" ht="12" customHeight="1">
      <c r="C92" s="9"/>
      <c r="D92" s="9"/>
      <c r="E92" s="9"/>
      <c r="F92" s="9"/>
      <c r="G92" s="9"/>
      <c r="H92" s="9"/>
    </row>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sheetData>
  <mergeCells count="44">
    <mergeCell ref="D19:E19"/>
    <mergeCell ref="C31:F31"/>
    <mergeCell ref="B3:H3"/>
    <mergeCell ref="C12:D12"/>
    <mergeCell ref="C13:D13"/>
    <mergeCell ref="C15:D15"/>
    <mergeCell ref="C16:D16"/>
    <mergeCell ref="C17:D17"/>
    <mergeCell ref="C32:F32"/>
    <mergeCell ref="C33:F33"/>
    <mergeCell ref="D20:E20"/>
    <mergeCell ref="D21:E21"/>
    <mergeCell ref="C38:E38"/>
    <mergeCell ref="C39:E39"/>
    <mergeCell ref="C41:D41"/>
    <mergeCell ref="C43:E43"/>
    <mergeCell ref="C35:D35"/>
    <mergeCell ref="C64:E64"/>
    <mergeCell ref="C65:E65"/>
    <mergeCell ref="C66:E66"/>
    <mergeCell ref="C60:E60"/>
    <mergeCell ref="C61:E61"/>
    <mergeCell ref="C62:E62"/>
    <mergeCell ref="C63:E63"/>
    <mergeCell ref="C57:E57"/>
    <mergeCell ref="C58:E58"/>
    <mergeCell ref="C44:E44"/>
    <mergeCell ref="C55:E55"/>
    <mergeCell ref="C59:E59"/>
    <mergeCell ref="C52:E52"/>
    <mergeCell ref="C53:E53"/>
    <mergeCell ref="C54:E54"/>
    <mergeCell ref="C56:E56"/>
    <mergeCell ref="C51:E51"/>
    <mergeCell ref="G2:H2"/>
    <mergeCell ref="C2:E2"/>
    <mergeCell ref="C75:G75"/>
    <mergeCell ref="C26:D26"/>
    <mergeCell ref="C68:D68"/>
    <mergeCell ref="C71:G71"/>
    <mergeCell ref="C72:G72"/>
    <mergeCell ref="C73:G73"/>
    <mergeCell ref="C74:G74"/>
    <mergeCell ref="C69:E69"/>
  </mergeCells>
  <printOptions/>
  <pageMargins left="0.984251968503937" right="0.3937007874015748" top="0.3937007874015748" bottom="0.3937007874015748" header="0" footer="0"/>
  <pageSetup horizontalDpi="600" verticalDpi="600" orientation="portrait" paperSize="9" r:id="rId3"/>
  <rowBreaks count="1" manualBreakCount="1">
    <brk id="46" max="9" man="1"/>
  </rowBreaks>
  <ignoredErrors>
    <ignoredError sqref="C23:C24"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Ark14"/>
  <dimension ref="B2:M187"/>
  <sheetViews>
    <sheetView showGridLines="0" showRowColHeaders="0"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7109375" style="1" customWidth="1"/>
    <col min="2" max="2" width="30.7109375" style="1" customWidth="1"/>
    <col min="3" max="4" width="10.7109375" style="1" customWidth="1"/>
    <col min="5" max="5" width="5.7109375" style="1" customWidth="1"/>
    <col min="6" max="7" width="10.7109375" style="1" customWidth="1"/>
    <col min="8" max="9" width="1.7109375" style="1" customWidth="1"/>
    <col min="10" max="16384" width="9.140625" style="1" customWidth="1"/>
  </cols>
  <sheetData>
    <row r="1" ht="7.5" customHeight="1"/>
    <row r="2" spans="2:13" ht="10.5" customHeight="1">
      <c r="B2" s="367" t="s">
        <v>117</v>
      </c>
      <c r="C2" s="370" t="s">
        <v>427</v>
      </c>
      <c r="D2" s="370"/>
      <c r="E2" s="373"/>
      <c r="F2" s="373"/>
      <c r="G2" s="375" t="s">
        <v>118</v>
      </c>
      <c r="H2" s="376"/>
      <c r="K2" s="120"/>
      <c r="L2" s="121">
        <f>raa1</f>
        <v>2004</v>
      </c>
      <c r="M2" s="122">
        <f>raa0</f>
        <v>2003</v>
      </c>
    </row>
    <row r="3" spans="2:13" ht="10.5" customHeight="1">
      <c r="B3" s="368"/>
      <c r="C3" s="371"/>
      <c r="D3" s="371"/>
      <c r="E3" s="349"/>
      <c r="F3" s="349"/>
      <c r="G3" s="377"/>
      <c r="H3" s="378"/>
      <c r="K3" s="118" t="s">
        <v>74</v>
      </c>
      <c r="L3" s="123">
        <f>C143</f>
        <v>1985241</v>
      </c>
      <c r="M3" s="124">
        <f>F143</f>
        <v>1583890</v>
      </c>
    </row>
    <row r="4" spans="2:13" ht="9.75" customHeight="1">
      <c r="B4" s="369"/>
      <c r="C4" s="372"/>
      <c r="D4" s="372"/>
      <c r="E4" s="374"/>
      <c r="F4" s="374"/>
      <c r="G4" s="379"/>
      <c r="H4" s="380"/>
      <c r="K4" s="119" t="s">
        <v>80</v>
      </c>
      <c r="L4" s="125">
        <f>D186</f>
        <v>1985241</v>
      </c>
      <c r="M4" s="126">
        <f>G186</f>
        <v>1583890</v>
      </c>
    </row>
    <row r="5" spans="2:13" ht="12" customHeight="1">
      <c r="B5" s="334"/>
      <c r="C5" s="331"/>
      <c r="D5" s="331"/>
      <c r="E5" s="331"/>
      <c r="F5" s="331"/>
      <c r="G5" s="331"/>
      <c r="H5" s="332"/>
      <c r="L5" s="127">
        <f>IF(L3-L4=0,"","l")</f>
      </c>
      <c r="M5" s="127">
        <f>IF(M3-M4=0,"","l")</f>
      </c>
    </row>
    <row r="6" spans="2:8" ht="12" customHeight="1">
      <c r="B6" s="75" t="s">
        <v>124</v>
      </c>
      <c r="C6" s="366">
        <f>raa1</f>
        <v>2004</v>
      </c>
      <c r="D6" s="366"/>
      <c r="E6" s="76"/>
      <c r="F6" s="366">
        <f>raa0</f>
        <v>2003</v>
      </c>
      <c r="G6" s="366"/>
      <c r="H6" s="77"/>
    </row>
    <row r="7" spans="2:8" ht="12" customHeight="1">
      <c r="B7" s="78"/>
      <c r="C7" s="94" t="s">
        <v>126</v>
      </c>
      <c r="D7" s="94" t="s">
        <v>127</v>
      </c>
      <c r="E7" s="93"/>
      <c r="F7" s="94" t="s">
        <v>126</v>
      </c>
      <c r="G7" s="94" t="s">
        <v>127</v>
      </c>
      <c r="H7" s="77"/>
    </row>
    <row r="8" spans="2:8" ht="12" customHeight="1">
      <c r="B8" s="74" t="s">
        <v>68</v>
      </c>
      <c r="C8" s="98"/>
      <c r="D8" s="98"/>
      <c r="E8" s="83"/>
      <c r="F8" s="98"/>
      <c r="G8" s="98"/>
      <c r="H8" s="77"/>
    </row>
    <row r="9" spans="2:8" ht="12" customHeight="1">
      <c r="B9" s="210" t="s">
        <v>128</v>
      </c>
      <c r="C9" s="209"/>
      <c r="D9" s="100">
        <v>4073065</v>
      </c>
      <c r="E9" s="83"/>
      <c r="F9" s="99"/>
      <c r="G9" s="100">
        <v>3481365</v>
      </c>
      <c r="H9" s="77"/>
    </row>
    <row r="10" spans="2:8" ht="12" customHeight="1">
      <c r="B10" s="210" t="s">
        <v>319</v>
      </c>
      <c r="C10" s="209"/>
      <c r="D10" s="100">
        <v>0</v>
      </c>
      <c r="E10" s="83"/>
      <c r="F10" s="99"/>
      <c r="G10" s="100">
        <v>0</v>
      </c>
      <c r="H10" s="77"/>
    </row>
    <row r="11" spans="2:8" ht="12" customHeight="1">
      <c r="B11" s="210" t="s">
        <v>320</v>
      </c>
      <c r="C11" s="209"/>
      <c r="D11" s="100">
        <v>-37162.999999999796</v>
      </c>
      <c r="E11" s="83"/>
      <c r="F11" s="99"/>
      <c r="G11" s="100">
        <v>-32964</v>
      </c>
      <c r="H11" s="77"/>
    </row>
    <row r="12" spans="2:8" ht="24" customHeight="1">
      <c r="B12" s="91" t="s">
        <v>146</v>
      </c>
      <c r="C12" s="99"/>
      <c r="D12" s="100">
        <v>0</v>
      </c>
      <c r="E12" s="83"/>
      <c r="F12" s="99"/>
      <c r="G12" s="100">
        <v>0</v>
      </c>
      <c r="H12" s="77"/>
    </row>
    <row r="13" spans="2:8" ht="12" customHeight="1">
      <c r="B13" s="82" t="s">
        <v>129</v>
      </c>
      <c r="C13" s="101"/>
      <c r="D13" s="101">
        <f>SUM(D9:D12)</f>
        <v>4035902</v>
      </c>
      <c r="E13" s="83"/>
      <c r="F13" s="101"/>
      <c r="G13" s="101">
        <f>SUM(G9:G12)</f>
        <v>3448401</v>
      </c>
      <c r="H13" s="77"/>
    </row>
    <row r="14" spans="2:8" ht="12" customHeight="1">
      <c r="B14" s="74" t="s">
        <v>131</v>
      </c>
      <c r="C14" s="99"/>
      <c r="D14" s="99"/>
      <c r="E14" s="83"/>
      <c r="F14" s="99"/>
      <c r="G14" s="99"/>
      <c r="H14" s="77"/>
    </row>
    <row r="15" spans="2:8" ht="12" customHeight="1">
      <c r="B15" s="73" t="s">
        <v>76</v>
      </c>
      <c r="C15" s="100">
        <v>1266124</v>
      </c>
      <c r="D15" s="99"/>
      <c r="E15" s="83"/>
      <c r="F15" s="100">
        <v>1168737</v>
      </c>
      <c r="G15" s="99"/>
      <c r="H15" s="77"/>
    </row>
    <row r="16" spans="2:8" ht="12" customHeight="1">
      <c r="B16" s="73" t="s">
        <v>132</v>
      </c>
      <c r="C16" s="100">
        <f>272386-50000</f>
        <v>222386</v>
      </c>
      <c r="D16" s="99"/>
      <c r="E16" s="83"/>
      <c r="F16" s="100">
        <v>0</v>
      </c>
      <c r="G16" s="99"/>
      <c r="H16" s="77"/>
    </row>
    <row r="17" spans="2:8" ht="12" customHeight="1">
      <c r="B17" s="73" t="s">
        <v>133</v>
      </c>
      <c r="C17" s="100">
        <v>50000</v>
      </c>
      <c r="D17" s="99"/>
      <c r="E17" s="83"/>
      <c r="F17" s="100">
        <v>0</v>
      </c>
      <c r="G17" s="99"/>
      <c r="H17" s="77"/>
    </row>
    <row r="18" spans="2:8" ht="12" customHeight="1">
      <c r="B18" s="82" t="s">
        <v>134</v>
      </c>
      <c r="C18" s="102">
        <f>SUM(C15:C17)</f>
        <v>1538510</v>
      </c>
      <c r="D18" s="102"/>
      <c r="E18" s="83"/>
      <c r="F18" s="102">
        <f>SUM(F15:F17)</f>
        <v>1168737</v>
      </c>
      <c r="G18" s="102"/>
      <c r="H18" s="77"/>
    </row>
    <row r="19" spans="2:8" ht="12" customHeight="1">
      <c r="B19" s="74" t="s">
        <v>130</v>
      </c>
      <c r="C19" s="103">
        <f>IF(D13-C18&lt;0,-(D13-C18),0)</f>
        <v>0</v>
      </c>
      <c r="D19" s="103">
        <f>IF(D13-C18&gt;=0,D13-C18,0)</f>
        <v>2497392</v>
      </c>
      <c r="E19" s="83"/>
      <c r="F19" s="103">
        <f>IF(G13-F18&lt;0,-(G13-F18),0)</f>
        <v>0</v>
      </c>
      <c r="G19" s="103">
        <f>IF(G13-F18&gt;=0,G13-F18,0)</f>
        <v>2279664</v>
      </c>
      <c r="H19" s="77"/>
    </row>
    <row r="20" spans="2:8" ht="12" customHeight="1">
      <c r="B20" s="72"/>
      <c r="C20" s="99"/>
      <c r="D20" s="99"/>
      <c r="E20" s="83"/>
      <c r="F20" s="99"/>
      <c r="G20" s="99"/>
      <c r="H20" s="77"/>
    </row>
    <row r="21" spans="2:8" ht="12" customHeight="1">
      <c r="B21" s="74" t="s">
        <v>135</v>
      </c>
      <c r="C21" s="99"/>
      <c r="D21" s="99"/>
      <c r="E21" s="83"/>
      <c r="F21" s="99"/>
      <c r="G21" s="99"/>
      <c r="H21" s="77"/>
    </row>
    <row r="22" spans="2:8" ht="12" customHeight="1">
      <c r="B22" s="73" t="s">
        <v>136</v>
      </c>
      <c r="C22" s="100">
        <f>78103+50000</f>
        <v>128103</v>
      </c>
      <c r="D22" s="99"/>
      <c r="E22" s="83"/>
      <c r="F22" s="100">
        <f>67000+14616+50000</f>
        <v>131616</v>
      </c>
      <c r="G22" s="99"/>
      <c r="H22" s="77"/>
    </row>
    <row r="23" spans="2:8" ht="12" customHeight="1">
      <c r="B23" s="73" t="s">
        <v>137</v>
      </c>
      <c r="C23" s="100">
        <v>10907</v>
      </c>
      <c r="D23" s="99"/>
      <c r="E23" s="83"/>
      <c r="F23" s="100">
        <v>8058</v>
      </c>
      <c r="G23" s="99"/>
      <c r="H23" s="77"/>
    </row>
    <row r="24" spans="2:8" ht="12" customHeight="1">
      <c r="B24" s="73" t="s">
        <v>138</v>
      </c>
      <c r="C24" s="100">
        <v>4337</v>
      </c>
      <c r="D24" s="99"/>
      <c r="E24" s="83"/>
      <c r="F24" s="100">
        <v>5284</v>
      </c>
      <c r="G24" s="99"/>
      <c r="H24" s="77"/>
    </row>
    <row r="25" spans="2:8" ht="12" customHeight="1">
      <c r="B25" s="73" t="s">
        <v>139</v>
      </c>
      <c r="C25" s="100">
        <v>93411</v>
      </c>
      <c r="D25" s="99"/>
      <c r="E25" s="83"/>
      <c r="F25" s="100">
        <v>80297</v>
      </c>
      <c r="G25" s="99"/>
      <c r="H25" s="77"/>
    </row>
    <row r="26" spans="2:8" ht="12" customHeight="1">
      <c r="B26" s="73" t="s">
        <v>140</v>
      </c>
      <c r="C26" s="100">
        <v>28374</v>
      </c>
      <c r="D26" s="99"/>
      <c r="E26" s="83"/>
      <c r="F26" s="100">
        <v>24683</v>
      </c>
      <c r="G26" s="99"/>
      <c r="H26" s="77"/>
    </row>
    <row r="27" spans="2:8" ht="12" customHeight="1">
      <c r="B27" s="73" t="s">
        <v>141</v>
      </c>
      <c r="C27" s="100">
        <v>24400</v>
      </c>
      <c r="D27" s="99"/>
      <c r="E27" s="83"/>
      <c r="F27" s="100">
        <v>22276</v>
      </c>
      <c r="G27" s="99"/>
      <c r="H27" s="77"/>
    </row>
    <row r="28" spans="2:8" ht="12" customHeight="1">
      <c r="B28" s="73" t="s">
        <v>144</v>
      </c>
      <c r="C28" s="100">
        <v>26345</v>
      </c>
      <c r="D28" s="99"/>
      <c r="E28" s="83"/>
      <c r="F28" s="100">
        <v>7635</v>
      </c>
      <c r="G28" s="99"/>
      <c r="H28" s="77"/>
    </row>
    <row r="29" spans="2:8" ht="12" customHeight="1">
      <c r="B29" s="73" t="s">
        <v>142</v>
      </c>
      <c r="C29" s="100">
        <v>19782</v>
      </c>
      <c r="D29" s="99"/>
      <c r="E29" s="83"/>
      <c r="F29" s="100">
        <v>2285</v>
      </c>
      <c r="G29" s="99"/>
      <c r="H29" s="77"/>
    </row>
    <row r="30" spans="2:8" ht="12" customHeight="1">
      <c r="B30" s="73" t="s">
        <v>143</v>
      </c>
      <c r="C30" s="104">
        <v>0</v>
      </c>
      <c r="D30" s="105"/>
      <c r="E30" s="83"/>
      <c r="F30" s="104">
        <v>50000</v>
      </c>
      <c r="G30" s="105"/>
      <c r="H30" s="77"/>
    </row>
    <row r="31" spans="2:8" ht="12" customHeight="1">
      <c r="B31" s="82" t="s">
        <v>145</v>
      </c>
      <c r="C31" s="103">
        <f>SUM(C22:C30)</f>
        <v>335659</v>
      </c>
      <c r="D31" s="103"/>
      <c r="E31" s="83"/>
      <c r="F31" s="103">
        <f>SUM(F22:F30)</f>
        <v>332134</v>
      </c>
      <c r="G31" s="103"/>
      <c r="H31" s="77"/>
    </row>
    <row r="32" spans="2:8" ht="12" customHeight="1">
      <c r="B32" s="82"/>
      <c r="C32" s="99"/>
      <c r="D32" s="99"/>
      <c r="E32" s="83"/>
      <c r="F32" s="99"/>
      <c r="G32" s="99"/>
      <c r="H32" s="77"/>
    </row>
    <row r="33" spans="2:8" ht="12" customHeight="1">
      <c r="B33" s="74" t="s">
        <v>147</v>
      </c>
      <c r="C33" s="99"/>
      <c r="D33" s="99"/>
      <c r="E33" s="83"/>
      <c r="F33" s="99"/>
      <c r="G33" s="99"/>
      <c r="H33" s="77"/>
    </row>
    <row r="34" spans="2:8" ht="12" customHeight="1">
      <c r="B34" s="73" t="s">
        <v>148</v>
      </c>
      <c r="C34" s="100">
        <v>35823</v>
      </c>
      <c r="D34" s="99"/>
      <c r="E34" s="83"/>
      <c r="F34" s="100">
        <v>30264</v>
      </c>
      <c r="G34" s="99"/>
      <c r="H34" s="77"/>
    </row>
    <row r="35" spans="2:8" ht="12" customHeight="1">
      <c r="B35" s="73" t="s">
        <v>149</v>
      </c>
      <c r="C35" s="100">
        <v>10939</v>
      </c>
      <c r="D35" s="99"/>
      <c r="E35" s="83"/>
      <c r="F35" s="100">
        <v>6312</v>
      </c>
      <c r="G35" s="99"/>
      <c r="H35" s="77"/>
    </row>
    <row r="36" spans="2:8" ht="12" customHeight="1">
      <c r="B36" s="73" t="s">
        <v>150</v>
      </c>
      <c r="C36" s="100">
        <v>21454</v>
      </c>
      <c r="D36" s="99"/>
      <c r="E36" s="83"/>
      <c r="F36" s="100">
        <v>23845</v>
      </c>
      <c r="G36" s="99"/>
      <c r="H36" s="77"/>
    </row>
    <row r="37" spans="2:8" ht="12" customHeight="1">
      <c r="B37" s="73" t="s">
        <v>151</v>
      </c>
      <c r="C37" s="100">
        <v>9996</v>
      </c>
      <c r="D37" s="99"/>
      <c r="E37" s="83"/>
      <c r="F37" s="100">
        <v>9362</v>
      </c>
      <c r="G37" s="99"/>
      <c r="H37" s="77"/>
    </row>
    <row r="38" spans="2:8" ht="12" customHeight="1">
      <c r="B38" s="73" t="s">
        <v>152</v>
      </c>
      <c r="C38" s="100">
        <v>6687</v>
      </c>
      <c r="D38" s="99"/>
      <c r="E38" s="83"/>
      <c r="F38" s="100">
        <v>10216</v>
      </c>
      <c r="G38" s="99"/>
      <c r="H38" s="77"/>
    </row>
    <row r="39" spans="2:8" ht="12" customHeight="1">
      <c r="B39" s="73" t="s">
        <v>153</v>
      </c>
      <c r="C39" s="100">
        <f>24529+30000</f>
        <v>54529</v>
      </c>
      <c r="D39" s="99"/>
      <c r="E39" s="83"/>
      <c r="F39" s="100">
        <v>53192</v>
      </c>
      <c r="G39" s="99"/>
      <c r="H39" s="77"/>
    </row>
    <row r="40" spans="2:8" ht="24" customHeight="1">
      <c r="B40" s="91" t="s">
        <v>154</v>
      </c>
      <c r="C40" s="100">
        <v>10220</v>
      </c>
      <c r="D40" s="99"/>
      <c r="E40" s="83"/>
      <c r="F40" s="100">
        <v>10180</v>
      </c>
      <c r="G40" s="99"/>
      <c r="H40" s="77"/>
    </row>
    <row r="41" spans="2:8" ht="12" customHeight="1">
      <c r="B41" s="73" t="s">
        <v>155</v>
      </c>
      <c r="C41" s="100">
        <v>17000</v>
      </c>
      <c r="D41" s="99"/>
      <c r="E41" s="83"/>
      <c r="F41" s="100">
        <v>17000</v>
      </c>
      <c r="G41" s="99"/>
      <c r="H41" s="77"/>
    </row>
    <row r="42" spans="2:8" ht="12" customHeight="1">
      <c r="B42" s="73" t="s">
        <v>156</v>
      </c>
      <c r="C42" s="100">
        <v>5100</v>
      </c>
      <c r="D42" s="99"/>
      <c r="E42" s="83"/>
      <c r="F42" s="100">
        <v>3932</v>
      </c>
      <c r="G42" s="99"/>
      <c r="H42" s="77"/>
    </row>
    <row r="43" spans="2:8" ht="12" customHeight="1">
      <c r="B43" s="73" t="s">
        <v>157</v>
      </c>
      <c r="C43" s="104">
        <v>3250</v>
      </c>
      <c r="D43" s="105"/>
      <c r="E43" s="83"/>
      <c r="F43" s="104">
        <v>0</v>
      </c>
      <c r="G43" s="105"/>
      <c r="H43" s="77"/>
    </row>
    <row r="44" spans="2:8" ht="12" customHeight="1">
      <c r="B44" s="82" t="s">
        <v>158</v>
      </c>
      <c r="C44" s="103">
        <f>SUM(C34:C43)</f>
        <v>174998</v>
      </c>
      <c r="D44" s="103"/>
      <c r="E44" s="83"/>
      <c r="F44" s="103">
        <f>SUM(F34:F43)</f>
        <v>164303</v>
      </c>
      <c r="G44" s="103"/>
      <c r="H44" s="77"/>
    </row>
    <row r="45" spans="2:8" ht="12" customHeight="1">
      <c r="B45" s="73"/>
      <c r="C45" s="99"/>
      <c r="D45" s="99"/>
      <c r="E45" s="83"/>
      <c r="F45" s="99"/>
      <c r="G45" s="99"/>
      <c r="H45" s="77"/>
    </row>
    <row r="46" spans="2:8" ht="12" customHeight="1">
      <c r="B46" s="74" t="s">
        <v>159</v>
      </c>
      <c r="C46" s="99"/>
      <c r="D46" s="99"/>
      <c r="E46" s="83"/>
      <c r="F46" s="99"/>
      <c r="G46" s="99"/>
      <c r="H46" s="77"/>
    </row>
    <row r="47" spans="2:8" ht="12" customHeight="1">
      <c r="B47" s="73" t="s">
        <v>160</v>
      </c>
      <c r="C47" s="100">
        <v>32328</v>
      </c>
      <c r="D47" s="99"/>
      <c r="E47" s="83"/>
      <c r="F47" s="100">
        <v>34562</v>
      </c>
      <c r="G47" s="99"/>
      <c r="H47" s="77"/>
    </row>
    <row r="48" spans="2:8" ht="12" customHeight="1">
      <c r="B48" s="73" t="s">
        <v>161</v>
      </c>
      <c r="C48" s="100">
        <v>17637</v>
      </c>
      <c r="D48" s="99"/>
      <c r="E48" s="83"/>
      <c r="F48" s="100">
        <v>16217</v>
      </c>
      <c r="G48" s="99"/>
      <c r="H48" s="77"/>
    </row>
    <row r="49" spans="2:8" ht="12" customHeight="1">
      <c r="B49" s="73" t="s">
        <v>162</v>
      </c>
      <c r="C49" s="100">
        <v>10750</v>
      </c>
      <c r="D49" s="99"/>
      <c r="E49" s="83"/>
      <c r="F49" s="100">
        <v>10750</v>
      </c>
      <c r="G49" s="99"/>
      <c r="H49" s="77"/>
    </row>
    <row r="50" spans="2:8" ht="12" customHeight="1">
      <c r="B50" s="73" t="s">
        <v>289</v>
      </c>
      <c r="C50" s="100">
        <v>11523</v>
      </c>
      <c r="D50" s="99"/>
      <c r="E50" s="83"/>
      <c r="F50" s="100">
        <v>11826</v>
      </c>
      <c r="G50" s="99"/>
      <c r="H50" s="77"/>
    </row>
    <row r="51" spans="2:8" ht="12" customHeight="1">
      <c r="B51" s="73" t="s">
        <v>163</v>
      </c>
      <c r="C51" s="100">
        <v>25634</v>
      </c>
      <c r="D51" s="99"/>
      <c r="E51" s="83"/>
      <c r="F51" s="100">
        <v>24724</v>
      </c>
      <c r="G51" s="99"/>
      <c r="H51" s="77"/>
    </row>
    <row r="52" spans="2:8" ht="12" customHeight="1">
      <c r="B52" s="73" t="s">
        <v>153</v>
      </c>
      <c r="C52" s="100">
        <v>7324</v>
      </c>
      <c r="D52" s="99"/>
      <c r="E52" s="83"/>
      <c r="F52" s="100">
        <v>7174</v>
      </c>
      <c r="G52" s="99"/>
      <c r="H52" s="77"/>
    </row>
    <row r="53" spans="2:8" ht="12" customHeight="1">
      <c r="B53" s="73" t="s">
        <v>164</v>
      </c>
      <c r="C53" s="104">
        <v>321</v>
      </c>
      <c r="D53" s="105"/>
      <c r="E53" s="83"/>
      <c r="F53" s="104">
        <v>0</v>
      </c>
      <c r="G53" s="105"/>
      <c r="H53" s="77"/>
    </row>
    <row r="54" spans="2:8" ht="12" customHeight="1">
      <c r="B54" s="82" t="s">
        <v>165</v>
      </c>
      <c r="C54" s="103">
        <f>SUM(C47:C53)</f>
        <v>105517</v>
      </c>
      <c r="D54" s="103"/>
      <c r="E54" s="83"/>
      <c r="F54" s="103">
        <f>SUM(F47:F53)</f>
        <v>105253</v>
      </c>
      <c r="G54" s="103"/>
      <c r="H54" s="77"/>
    </row>
    <row r="55" spans="2:8" ht="12" customHeight="1">
      <c r="B55" s="82"/>
      <c r="C55" s="99"/>
      <c r="D55" s="99"/>
      <c r="E55" s="83"/>
      <c r="F55" s="99"/>
      <c r="G55" s="99"/>
      <c r="H55" s="77"/>
    </row>
    <row r="56" spans="2:8" ht="12" customHeight="1">
      <c r="B56" s="74" t="s">
        <v>166</v>
      </c>
      <c r="C56" s="99"/>
      <c r="D56" s="99"/>
      <c r="E56" s="83"/>
      <c r="F56" s="99"/>
      <c r="G56" s="99"/>
      <c r="H56" s="77"/>
    </row>
    <row r="57" spans="2:8" ht="12" customHeight="1">
      <c r="B57" s="73" t="s">
        <v>167</v>
      </c>
      <c r="C57" s="100">
        <v>869456</v>
      </c>
      <c r="D57" s="99"/>
      <c r="E57" s="83"/>
      <c r="F57" s="100">
        <v>845324</v>
      </c>
      <c r="G57" s="99"/>
      <c r="H57" s="77"/>
    </row>
    <row r="58" spans="2:8" ht="12" customHeight="1">
      <c r="B58" s="73" t="s">
        <v>168</v>
      </c>
      <c r="C58" s="100">
        <v>8801</v>
      </c>
      <c r="D58" s="99"/>
      <c r="E58" s="83"/>
      <c r="F58" s="100">
        <v>9926</v>
      </c>
      <c r="G58" s="99"/>
      <c r="H58" s="77"/>
    </row>
    <row r="59" spans="2:8" ht="12" customHeight="1">
      <c r="B59" s="73" t="s">
        <v>169</v>
      </c>
      <c r="C59" s="106"/>
      <c r="D59" s="100">
        <v>4350</v>
      </c>
      <c r="E59" s="83"/>
      <c r="F59" s="106"/>
      <c r="G59" s="100">
        <v>5998</v>
      </c>
      <c r="H59" s="77"/>
    </row>
    <row r="60" spans="2:8" ht="12" customHeight="1">
      <c r="B60" s="73" t="s">
        <v>170</v>
      </c>
      <c r="C60" s="100">
        <v>13951</v>
      </c>
      <c r="D60" s="99"/>
      <c r="E60" s="83"/>
      <c r="F60" s="100">
        <v>12174</v>
      </c>
      <c r="G60" s="99"/>
      <c r="H60" s="77"/>
    </row>
    <row r="61" spans="2:8" ht="12" customHeight="1">
      <c r="B61" s="73" t="s">
        <v>171</v>
      </c>
      <c r="C61" s="100">
        <v>51780</v>
      </c>
      <c r="D61" s="99"/>
      <c r="E61" s="83"/>
      <c r="F61" s="100">
        <v>37098</v>
      </c>
      <c r="G61" s="99"/>
      <c r="H61" s="77"/>
    </row>
    <row r="62" spans="2:8" ht="12" customHeight="1">
      <c r="B62" s="73" t="s">
        <v>172</v>
      </c>
      <c r="C62" s="100">
        <v>11781</v>
      </c>
      <c r="D62" s="99"/>
      <c r="E62" s="83"/>
      <c r="F62" s="100">
        <v>12385</v>
      </c>
      <c r="G62" s="99"/>
      <c r="H62" s="77"/>
    </row>
    <row r="63" spans="2:8" ht="12" customHeight="1">
      <c r="B63" s="73" t="s">
        <v>173</v>
      </c>
      <c r="C63" s="104">
        <v>24552</v>
      </c>
      <c r="D63" s="105"/>
      <c r="E63" s="83"/>
      <c r="F63" s="104">
        <v>19054</v>
      </c>
      <c r="G63" s="105"/>
      <c r="H63" s="77"/>
    </row>
    <row r="64" spans="2:8" ht="12" customHeight="1">
      <c r="B64" s="82" t="s">
        <v>174</v>
      </c>
      <c r="C64" s="103">
        <f>IF(SUM(C57:C63)-SUM(D57:D63)&lt;0,"Fejl",SUM(C57:C63)-SUM(D57:D63))</f>
        <v>975971</v>
      </c>
      <c r="D64" s="103"/>
      <c r="E64" s="83"/>
      <c r="F64" s="103">
        <f>IF(SUM(F57:F63)-SUM(G57:G63)&lt;0,"Fejl",SUM(F57:F63)-SUM(G57:G63))</f>
        <v>929963</v>
      </c>
      <c r="G64" s="103"/>
      <c r="H64" s="77"/>
    </row>
    <row r="65" spans="2:8" ht="12" customHeight="1">
      <c r="B65" s="73"/>
      <c r="C65" s="99"/>
      <c r="D65" s="99"/>
      <c r="E65" s="83"/>
      <c r="F65" s="99"/>
      <c r="G65" s="99"/>
      <c r="H65" s="77"/>
    </row>
    <row r="66" spans="2:8" ht="12" customHeight="1">
      <c r="B66" s="74" t="s">
        <v>175</v>
      </c>
      <c r="C66" s="99"/>
      <c r="D66" s="99"/>
      <c r="E66" s="83"/>
      <c r="F66" s="99"/>
      <c r="G66" s="99"/>
      <c r="H66" s="77"/>
    </row>
    <row r="67" spans="2:8" ht="12" customHeight="1">
      <c r="B67" s="73" t="s">
        <v>176</v>
      </c>
      <c r="C67" s="104">
        <v>25343</v>
      </c>
      <c r="D67" s="105"/>
      <c r="E67" s="83"/>
      <c r="F67" s="104">
        <v>0</v>
      </c>
      <c r="G67" s="105"/>
      <c r="H67" s="77"/>
    </row>
    <row r="68" spans="2:8" ht="12" customHeight="1">
      <c r="B68" s="82" t="s">
        <v>177</v>
      </c>
      <c r="C68" s="103">
        <f>SUM(C67)</f>
        <v>25343</v>
      </c>
      <c r="D68" s="103"/>
      <c r="E68" s="83"/>
      <c r="F68" s="103">
        <f>SUM(F67)</f>
        <v>0</v>
      </c>
      <c r="G68" s="103"/>
      <c r="H68" s="77"/>
    </row>
    <row r="69" spans="2:8" ht="12" customHeight="1">
      <c r="B69" s="73"/>
      <c r="C69" s="99"/>
      <c r="D69" s="99"/>
      <c r="E69" s="83"/>
      <c r="F69" s="99"/>
      <c r="G69" s="99"/>
      <c r="H69" s="77"/>
    </row>
    <row r="70" spans="2:8" ht="12" customHeight="1">
      <c r="B70" s="74" t="s">
        <v>178</v>
      </c>
      <c r="C70" s="99"/>
      <c r="D70" s="99"/>
      <c r="E70" s="83"/>
      <c r="F70" s="99"/>
      <c r="G70" s="99"/>
      <c r="H70" s="77"/>
    </row>
    <row r="71" spans="2:8" ht="12" customHeight="1">
      <c r="B71" s="73" t="s">
        <v>306</v>
      </c>
      <c r="C71" s="106">
        <f>D101</f>
        <v>0</v>
      </c>
      <c r="D71" s="99"/>
      <c r="E71" s="83"/>
      <c r="F71" s="106">
        <f>G101</f>
        <v>0</v>
      </c>
      <c r="G71" s="99"/>
      <c r="H71" s="77"/>
    </row>
    <row r="72" spans="2:8" ht="12" customHeight="1">
      <c r="B72" s="73" t="s">
        <v>71</v>
      </c>
      <c r="C72" s="106">
        <f>D110</f>
        <v>40000</v>
      </c>
      <c r="D72" s="99"/>
      <c r="E72" s="83"/>
      <c r="F72" s="106">
        <f>G110</f>
        <v>40000</v>
      </c>
      <c r="G72" s="99"/>
      <c r="H72" s="77"/>
    </row>
    <row r="73" spans="2:8" ht="12" customHeight="1">
      <c r="B73" s="73" t="s">
        <v>179</v>
      </c>
      <c r="C73" s="106">
        <f>D117</f>
        <v>26150</v>
      </c>
      <c r="D73" s="99"/>
      <c r="E73" s="83"/>
      <c r="F73" s="106">
        <f>G117</f>
        <v>26150</v>
      </c>
      <c r="G73" s="99"/>
      <c r="H73" s="77"/>
    </row>
    <row r="74" spans="2:8" ht="12" customHeight="1">
      <c r="B74" s="73" t="s">
        <v>180</v>
      </c>
      <c r="C74" s="107">
        <f>D124</f>
        <v>25620</v>
      </c>
      <c r="D74" s="105"/>
      <c r="E74" s="83"/>
      <c r="F74" s="107">
        <f>G124</f>
        <v>17751</v>
      </c>
      <c r="G74" s="105"/>
      <c r="H74" s="77"/>
    </row>
    <row r="75" spans="2:8" ht="12" customHeight="1">
      <c r="B75" s="82" t="s">
        <v>181</v>
      </c>
      <c r="C75" s="103">
        <f>SUM(C71:C74)</f>
        <v>91770</v>
      </c>
      <c r="D75" s="103"/>
      <c r="E75" s="83"/>
      <c r="F75" s="103">
        <f>SUM(F71:F74)</f>
        <v>83901</v>
      </c>
      <c r="G75" s="103"/>
      <c r="H75" s="77"/>
    </row>
    <row r="76" spans="2:8" ht="12" customHeight="1">
      <c r="B76" s="73"/>
      <c r="C76" s="99"/>
      <c r="D76" s="99"/>
      <c r="E76" s="83"/>
      <c r="F76" s="99"/>
      <c r="G76" s="99"/>
      <c r="H76" s="77"/>
    </row>
    <row r="77" spans="2:8" ht="12" customHeight="1">
      <c r="B77" s="74" t="s">
        <v>182</v>
      </c>
      <c r="C77" s="99"/>
      <c r="D77" s="99"/>
      <c r="E77" s="83"/>
      <c r="F77" s="99"/>
      <c r="G77" s="99"/>
      <c r="H77" s="77"/>
    </row>
    <row r="78" spans="2:8" ht="12" customHeight="1">
      <c r="B78" s="73" t="s">
        <v>78</v>
      </c>
      <c r="C78" s="106"/>
      <c r="D78" s="100">
        <v>6985</v>
      </c>
      <c r="E78" s="83"/>
      <c r="F78" s="106"/>
      <c r="G78" s="100">
        <v>8126</v>
      </c>
      <c r="H78" s="77"/>
    </row>
    <row r="79" spans="2:8" ht="12" customHeight="1">
      <c r="B79" s="73" t="s">
        <v>187</v>
      </c>
      <c r="C79" s="107"/>
      <c r="D79" s="104">
        <f>522+4307</f>
        <v>4829</v>
      </c>
      <c r="E79" s="83"/>
      <c r="F79" s="107"/>
      <c r="G79" s="104">
        <v>3084</v>
      </c>
      <c r="H79" s="77"/>
    </row>
    <row r="80" spans="2:8" ht="12" customHeight="1">
      <c r="B80" s="82" t="s">
        <v>184</v>
      </c>
      <c r="C80" s="108"/>
      <c r="D80" s="103">
        <f>SUM(D78:D79)</f>
        <v>11814</v>
      </c>
      <c r="E80" s="83"/>
      <c r="F80" s="108"/>
      <c r="G80" s="103">
        <f>SUM(G78:G79)</f>
        <v>11210</v>
      </c>
      <c r="H80" s="77"/>
    </row>
    <row r="81" spans="2:8" ht="12" customHeight="1">
      <c r="B81" s="73"/>
      <c r="C81" s="99"/>
      <c r="D81" s="99"/>
      <c r="E81" s="83"/>
      <c r="F81" s="99"/>
      <c r="G81" s="99"/>
      <c r="H81" s="77"/>
    </row>
    <row r="82" spans="2:8" ht="12" customHeight="1">
      <c r="B82" s="74" t="s">
        <v>185</v>
      </c>
      <c r="C82" s="99"/>
      <c r="D82" s="99"/>
      <c r="E82" s="83"/>
      <c r="F82" s="99"/>
      <c r="G82" s="99"/>
      <c r="H82" s="77"/>
    </row>
    <row r="83" spans="2:8" ht="12" customHeight="1">
      <c r="B83" s="73" t="s">
        <v>186</v>
      </c>
      <c r="C83" s="100">
        <v>1903</v>
      </c>
      <c r="D83" s="99"/>
      <c r="E83" s="83"/>
      <c r="F83" s="100">
        <v>3184</v>
      </c>
      <c r="G83" s="99"/>
      <c r="H83" s="77"/>
    </row>
    <row r="84" spans="2:8" ht="12" customHeight="1">
      <c r="B84" s="73" t="s">
        <v>81</v>
      </c>
      <c r="C84" s="100">
        <v>48273</v>
      </c>
      <c r="D84" s="99"/>
      <c r="E84" s="83"/>
      <c r="F84" s="100">
        <v>51153</v>
      </c>
      <c r="G84" s="99"/>
      <c r="H84" s="77"/>
    </row>
    <row r="85" spans="2:8" ht="12" customHeight="1">
      <c r="B85" s="73" t="s">
        <v>189</v>
      </c>
      <c r="C85" s="100">
        <v>3160</v>
      </c>
      <c r="D85" s="99"/>
      <c r="E85" s="83"/>
      <c r="F85" s="100">
        <v>2385</v>
      </c>
      <c r="G85" s="99"/>
      <c r="H85" s="77"/>
    </row>
    <row r="86" spans="2:8" ht="12" customHeight="1">
      <c r="B86" s="73" t="s">
        <v>188</v>
      </c>
      <c r="C86" s="100">
        <v>43470</v>
      </c>
      <c r="D86" s="99"/>
      <c r="E86" s="83"/>
      <c r="F86" s="100">
        <v>38298</v>
      </c>
      <c r="G86" s="99"/>
      <c r="H86" s="77"/>
    </row>
    <row r="87" spans="2:8" ht="12" customHeight="1">
      <c r="B87" s="73" t="s">
        <v>219</v>
      </c>
      <c r="C87" s="100">
        <v>0</v>
      </c>
      <c r="D87" s="105"/>
      <c r="E87" s="83"/>
      <c r="F87" s="100">
        <v>0</v>
      </c>
      <c r="G87" s="105"/>
      <c r="H87" s="77"/>
    </row>
    <row r="88" spans="2:8" ht="12" customHeight="1">
      <c r="B88" s="82" t="s">
        <v>190</v>
      </c>
      <c r="C88" s="101">
        <f>SUM(C83:C87)</f>
        <v>96806</v>
      </c>
      <c r="D88" s="99"/>
      <c r="E88" s="83"/>
      <c r="F88" s="101">
        <f>SUM(F83:F87)</f>
        <v>95020</v>
      </c>
      <c r="G88" s="102"/>
      <c r="H88" s="77"/>
    </row>
    <row r="89" spans="2:8" ht="12" customHeight="1">
      <c r="B89" s="82"/>
      <c r="C89" s="340"/>
      <c r="D89" s="340"/>
      <c r="E89" s="83"/>
      <c r="F89" s="340"/>
      <c r="G89" s="101"/>
      <c r="H89" s="77"/>
    </row>
    <row r="90" spans="2:8" ht="12" customHeight="1">
      <c r="B90" s="443" t="s">
        <v>462</v>
      </c>
      <c r="C90" s="342"/>
      <c r="D90" s="342"/>
      <c r="E90" s="83"/>
      <c r="F90" s="342"/>
      <c r="G90" s="343"/>
      <c r="H90" s="77"/>
    </row>
    <row r="91" spans="2:8" ht="12" customHeight="1">
      <c r="B91" s="82"/>
      <c r="C91" s="340"/>
      <c r="D91" s="340"/>
      <c r="E91" s="83"/>
      <c r="F91" s="340"/>
      <c r="G91" s="341"/>
      <c r="H91" s="77"/>
    </row>
    <row r="92" spans="2:8" ht="12" customHeight="1">
      <c r="B92" s="73"/>
      <c r="C92" s="103">
        <f>IF(C19-D19+C31+C44+C54+C64+C68+C75-D80+C88+C90-D90&lt;0,0,C19-D19+C31+C44+C54+C64+C68+C75-D80+C88+C90-D90)</f>
        <v>0</v>
      </c>
      <c r="D92" s="103">
        <f>IF(D19-C19-C31-C44-C54-C64-C68-C75+D80-C88+D90-C90&lt;=0,0,D19-C19-C31-C44-C54-C64-C68-C75+D80-C88+D90-C90)</f>
        <v>703142</v>
      </c>
      <c r="E92" s="83"/>
      <c r="F92" s="103">
        <f>IF(F19-G19+F31+F44+F54+F64+F68+F75-G80+F88+F90-G90&lt;0,0,F19-G19+F31+F44+F54+F64+F68+F75-G80+F88+F90-G90)</f>
        <v>0</v>
      </c>
      <c r="G92" s="103">
        <f>IF(G19-F19-F31-F44-F54-F64-F68-F75+G80-F88+G90-F90&lt;=0,0,G19-F19-F31-F44-F54-F64-F68-F75+G80-F88+G90-F90)</f>
        <v>580300</v>
      </c>
      <c r="H92" s="77"/>
    </row>
    <row r="93" spans="2:8" ht="12" customHeight="1">
      <c r="B93" s="72"/>
      <c r="C93" s="83"/>
      <c r="D93" s="83"/>
      <c r="E93" s="83"/>
      <c r="F93" s="83"/>
      <c r="G93" s="83"/>
      <c r="H93" s="77"/>
    </row>
    <row r="94" spans="2:8" ht="12" customHeight="1">
      <c r="B94" s="75" t="s">
        <v>125</v>
      </c>
      <c r="C94" s="366">
        <f>raa1</f>
        <v>2004</v>
      </c>
      <c r="D94" s="366"/>
      <c r="E94" s="83"/>
      <c r="F94" s="366">
        <f>raa0</f>
        <v>2003</v>
      </c>
      <c r="G94" s="366"/>
      <c r="H94" s="77"/>
    </row>
    <row r="95" spans="2:8" ht="12" customHeight="1">
      <c r="B95" s="74" t="s">
        <v>191</v>
      </c>
      <c r="C95" s="94" t="s">
        <v>74</v>
      </c>
      <c r="D95" s="94" t="s">
        <v>80</v>
      </c>
      <c r="E95" s="93"/>
      <c r="F95" s="94" t="s">
        <v>74</v>
      </c>
      <c r="G95" s="94" t="s">
        <v>80</v>
      </c>
      <c r="H95" s="77"/>
    </row>
    <row r="96" spans="2:8" ht="12" customHeight="1">
      <c r="B96" s="74" t="s">
        <v>69</v>
      </c>
      <c r="C96" s="109"/>
      <c r="D96" s="109"/>
      <c r="E96" s="83"/>
      <c r="F96" s="109"/>
      <c r="G96" s="109"/>
      <c r="H96" s="77"/>
    </row>
    <row r="97" spans="2:8" ht="12" customHeight="1">
      <c r="B97" s="73" t="str">
        <f>"Goodwill "&amp;primodato</f>
        <v>Goodwill 1/1 2004</v>
      </c>
      <c r="C97" s="109">
        <f>IF(SUM(F97:F102)-SUM(G97:G102)&lt;0,"Fejl",SUM(F97:F102)-SUM(G97:G102))</f>
        <v>0</v>
      </c>
      <c r="D97" s="109"/>
      <c r="E97" s="83"/>
      <c r="F97" s="110"/>
      <c r="G97" s="111"/>
      <c r="H97" s="77"/>
    </row>
    <row r="98" spans="2:8" ht="12" customHeight="1">
      <c r="B98" s="73" t="s">
        <v>192</v>
      </c>
      <c r="C98" s="110"/>
      <c r="D98" s="111"/>
      <c r="E98" s="83"/>
      <c r="F98" s="110"/>
      <c r="G98" s="111"/>
      <c r="H98" s="77"/>
    </row>
    <row r="99" spans="2:8" ht="12" customHeight="1">
      <c r="B99" s="73" t="s">
        <v>193</v>
      </c>
      <c r="C99" s="111"/>
      <c r="D99" s="110"/>
      <c r="E99" s="83"/>
      <c r="F99" s="111"/>
      <c r="G99" s="110"/>
      <c r="H99" s="77"/>
    </row>
    <row r="100" spans="2:8" ht="12" customHeight="1">
      <c r="B100" s="73" t="str">
        <f>"Akumulerede afskrivninger "&amp;primodato</f>
        <v>Akumulerede afskrivninger 1/1 2004</v>
      </c>
      <c r="C100" s="111"/>
      <c r="D100" s="111">
        <f>SUM(G100:G101)-F102</f>
        <v>0</v>
      </c>
      <c r="E100" s="83"/>
      <c r="F100" s="111"/>
      <c r="G100" s="110"/>
      <c r="H100" s="77"/>
    </row>
    <row r="101" spans="2:8" ht="12" customHeight="1">
      <c r="B101" s="73" t="s">
        <v>83</v>
      </c>
      <c r="C101" s="111"/>
      <c r="D101" s="110"/>
      <c r="E101" s="83"/>
      <c r="F101" s="111"/>
      <c r="G101" s="110"/>
      <c r="H101" s="77"/>
    </row>
    <row r="102" spans="2:8" ht="12" customHeight="1">
      <c r="B102" s="73" t="s">
        <v>194</v>
      </c>
      <c r="C102" s="112"/>
      <c r="D102" s="113"/>
      <c r="E102" s="83"/>
      <c r="F102" s="112"/>
      <c r="G102" s="113"/>
      <c r="H102" s="77"/>
    </row>
    <row r="103" spans="2:8" ht="12" customHeight="1">
      <c r="B103" s="82" t="s">
        <v>202</v>
      </c>
      <c r="C103" s="108">
        <f>IF(SUM(C97:C102)-SUM(D97:D102)&lt;0,"Fejl",SUM(C97:C102)-SUM(D97:D102))</f>
        <v>0</v>
      </c>
      <c r="D103" s="108"/>
      <c r="E103" s="83"/>
      <c r="F103" s="108">
        <f>IF(SUM(F97:F102)-SUM(G97:G102)&lt;0,"Fejl",SUM(F97:F102)-SUM(G97:G102))</f>
        <v>0</v>
      </c>
      <c r="G103" s="108"/>
      <c r="H103" s="77"/>
    </row>
    <row r="104" spans="2:8" ht="12" customHeight="1">
      <c r="B104" s="73"/>
      <c r="C104" s="111"/>
      <c r="D104" s="111"/>
      <c r="E104" s="83"/>
      <c r="F104" s="111"/>
      <c r="G104" s="111"/>
      <c r="H104" s="77"/>
    </row>
    <row r="105" spans="2:8" ht="12" customHeight="1">
      <c r="B105" s="74" t="s">
        <v>70</v>
      </c>
      <c r="C105" s="111"/>
      <c r="D105" s="111"/>
      <c r="E105" s="83"/>
      <c r="F105" s="111"/>
      <c r="G105" s="111"/>
      <c r="H105" s="77"/>
    </row>
    <row r="106" spans="2:8" ht="12" customHeight="1">
      <c r="B106" s="73" t="str">
        <f>"Grunde og bygninger "&amp;primodato</f>
        <v>Grunde og bygninger 1/1 2004</v>
      </c>
      <c r="C106" s="109">
        <f>IF(SUM(F106:F108)-SUM(G106:G108)&lt;0,"Fejl",SUM(F106:F108)-SUM(G106:G108))</f>
        <v>1000000</v>
      </c>
      <c r="D106" s="109"/>
      <c r="E106" s="83"/>
      <c r="F106" s="110">
        <v>0</v>
      </c>
      <c r="G106" s="111"/>
      <c r="H106" s="77"/>
    </row>
    <row r="107" spans="2:8" ht="12" customHeight="1">
      <c r="B107" s="73" t="s">
        <v>192</v>
      </c>
      <c r="C107" s="110">
        <v>0</v>
      </c>
      <c r="D107" s="111"/>
      <c r="E107" s="83"/>
      <c r="F107" s="110">
        <v>1000000</v>
      </c>
      <c r="G107" s="111"/>
      <c r="H107" s="77"/>
    </row>
    <row r="108" spans="2:8" ht="12" customHeight="1">
      <c r="B108" s="73" t="s">
        <v>193</v>
      </c>
      <c r="C108" s="111"/>
      <c r="D108" s="110">
        <v>0</v>
      </c>
      <c r="E108" s="83"/>
      <c r="F108" s="111"/>
      <c r="G108" s="110">
        <v>0</v>
      </c>
      <c r="H108" s="77"/>
    </row>
    <row r="109" spans="2:8" ht="12" customHeight="1">
      <c r="B109" s="73" t="str">
        <f>"Akumulerede afskrivninger "&amp;primodato</f>
        <v>Akumulerede afskrivninger 1/1 2004</v>
      </c>
      <c r="C109" s="111"/>
      <c r="D109" s="111">
        <f>SUM(G109:G110)-F111</f>
        <v>40000</v>
      </c>
      <c r="E109" s="83"/>
      <c r="F109" s="111"/>
      <c r="G109" s="110">
        <v>0</v>
      </c>
      <c r="H109" s="77"/>
    </row>
    <row r="110" spans="2:8" ht="12" customHeight="1">
      <c r="B110" s="73" t="s">
        <v>83</v>
      </c>
      <c r="C110" s="111"/>
      <c r="D110" s="110">
        <v>40000</v>
      </c>
      <c r="E110" s="83"/>
      <c r="F110" s="111"/>
      <c r="G110" s="110">
        <f>F107/25</f>
        <v>40000</v>
      </c>
      <c r="H110" s="77"/>
    </row>
    <row r="111" spans="2:8" ht="12" customHeight="1">
      <c r="B111" s="73" t="s">
        <v>194</v>
      </c>
      <c r="C111" s="110">
        <v>0</v>
      </c>
      <c r="D111" s="111"/>
      <c r="E111" s="83"/>
      <c r="F111" s="110">
        <v>0</v>
      </c>
      <c r="G111" s="111"/>
      <c r="H111" s="77"/>
    </row>
    <row r="112" spans="2:8" ht="12" customHeight="1">
      <c r="B112" s="72"/>
      <c r="C112" s="109"/>
      <c r="D112" s="109"/>
      <c r="E112" s="83"/>
      <c r="F112" s="109"/>
      <c r="G112" s="109"/>
      <c r="H112" s="77"/>
    </row>
    <row r="113" spans="2:8" ht="12" customHeight="1">
      <c r="B113" s="73" t="str">
        <f>"Biler "&amp;primodato</f>
        <v>Biler 1/1 2004</v>
      </c>
      <c r="C113" s="109">
        <f>IF(SUM(F113:F115)-SUM(G113:G115)&lt;0,"Fejl",SUM(F113:F115)-SUM(G113:G115))</f>
        <v>130750</v>
      </c>
      <c r="D113" s="109"/>
      <c r="E113" s="83"/>
      <c r="F113" s="110">
        <v>130750</v>
      </c>
      <c r="G113" s="111"/>
      <c r="H113" s="77"/>
    </row>
    <row r="114" spans="2:8" ht="12" customHeight="1">
      <c r="B114" s="73" t="s">
        <v>192</v>
      </c>
      <c r="C114" s="110">
        <v>0</v>
      </c>
      <c r="D114" s="111"/>
      <c r="E114" s="83"/>
      <c r="F114" s="110">
        <v>0</v>
      </c>
      <c r="G114" s="111"/>
      <c r="H114" s="77"/>
    </row>
    <row r="115" spans="2:8" ht="12" customHeight="1">
      <c r="B115" s="73" t="s">
        <v>193</v>
      </c>
      <c r="C115" s="111"/>
      <c r="D115" s="110">
        <v>0</v>
      </c>
      <c r="E115" s="83"/>
      <c r="F115" s="111"/>
      <c r="G115" s="110">
        <v>0</v>
      </c>
      <c r="H115" s="77"/>
    </row>
    <row r="116" spans="2:8" ht="12" customHeight="1">
      <c r="B116" s="73" t="str">
        <f>"Akumulerede afskrivninger "&amp;primodato</f>
        <v>Akumulerede afskrivninger 1/1 2004</v>
      </c>
      <c r="C116" s="111"/>
      <c r="D116" s="111">
        <f>SUM(G116:G117)-F118</f>
        <v>52300</v>
      </c>
      <c r="E116" s="83"/>
      <c r="F116" s="111"/>
      <c r="G116" s="110">
        <v>26150</v>
      </c>
      <c r="H116" s="77"/>
    </row>
    <row r="117" spans="2:8" ht="12" customHeight="1">
      <c r="B117" s="73" t="s">
        <v>83</v>
      </c>
      <c r="C117" s="111"/>
      <c r="D117" s="110">
        <v>26150</v>
      </c>
      <c r="E117" s="83"/>
      <c r="F117" s="111"/>
      <c r="G117" s="110">
        <v>26150</v>
      </c>
      <c r="H117" s="77"/>
    </row>
    <row r="118" spans="2:8" ht="12" customHeight="1">
      <c r="B118" s="73" t="s">
        <v>194</v>
      </c>
      <c r="C118" s="110">
        <v>0</v>
      </c>
      <c r="D118" s="111"/>
      <c r="E118" s="83"/>
      <c r="F118" s="110">
        <v>0</v>
      </c>
      <c r="G118" s="111"/>
      <c r="H118" s="77"/>
    </row>
    <row r="119" spans="2:8" ht="12" customHeight="1">
      <c r="B119" s="72"/>
      <c r="C119" s="109"/>
      <c r="D119" s="109"/>
      <c r="E119" s="83"/>
      <c r="F119" s="109"/>
      <c r="G119" s="109"/>
      <c r="H119" s="77"/>
    </row>
    <row r="120" spans="2:10" ht="12" customHeight="1">
      <c r="B120" s="73" t="str">
        <f>"Øvrige driftsmateriel og inventar "&amp;primodato</f>
        <v>Øvrige driftsmateriel og inventar 1/1 2004</v>
      </c>
      <c r="C120" s="109">
        <f>IF(SUM(F120:F122)-SUM(G120:G122)&lt;0,"Fejl",SUM(F120:F122)-SUM(G120:G122))</f>
        <v>88753</v>
      </c>
      <c r="D120" s="109"/>
      <c r="E120" s="83"/>
      <c r="F120" s="110">
        <v>88753</v>
      </c>
      <c r="G120" s="111"/>
      <c r="H120" s="77"/>
      <c r="J120" s="250"/>
    </row>
    <row r="121" spans="2:10" ht="12" customHeight="1">
      <c r="B121" s="73" t="s">
        <v>192</v>
      </c>
      <c r="C121" s="110">
        <v>91741</v>
      </c>
      <c r="D121" s="111"/>
      <c r="E121" s="83"/>
      <c r="F121" s="110">
        <v>0</v>
      </c>
      <c r="G121" s="111"/>
      <c r="H121" s="77"/>
      <c r="J121" s="250"/>
    </row>
    <row r="122" spans="2:8" ht="12" customHeight="1">
      <c r="B122" s="73" t="s">
        <v>193</v>
      </c>
      <c r="C122" s="111"/>
      <c r="D122" s="110">
        <v>52395</v>
      </c>
      <c r="E122" s="83"/>
      <c r="F122" s="111"/>
      <c r="G122" s="110">
        <v>0</v>
      </c>
      <c r="H122" s="77"/>
    </row>
    <row r="123" spans="2:10" ht="12" customHeight="1">
      <c r="B123" s="73" t="str">
        <f>"Akumulerede afskrivninger "&amp;primodato</f>
        <v>Akumulerede afskrivninger 1/1 2004</v>
      </c>
      <c r="C123" s="111"/>
      <c r="D123" s="111">
        <f>SUM(G123:G124)-F125</f>
        <v>35502</v>
      </c>
      <c r="E123" s="83"/>
      <c r="F123" s="111"/>
      <c r="G123" s="110">
        <v>17751</v>
      </c>
      <c r="H123" s="77"/>
      <c r="J123" s="250"/>
    </row>
    <row r="124" spans="2:8" ht="12" customHeight="1">
      <c r="B124" s="73" t="s">
        <v>83</v>
      </c>
      <c r="C124" s="111"/>
      <c r="D124" s="110">
        <v>25620</v>
      </c>
      <c r="E124" s="83"/>
      <c r="F124" s="111"/>
      <c r="G124" s="110">
        <v>17751</v>
      </c>
      <c r="H124" s="77"/>
    </row>
    <row r="125" spans="2:8" ht="12" customHeight="1">
      <c r="B125" s="73" t="s">
        <v>194</v>
      </c>
      <c r="C125" s="112">
        <v>20958</v>
      </c>
      <c r="D125" s="113"/>
      <c r="E125" s="83"/>
      <c r="F125" s="112">
        <v>0</v>
      </c>
      <c r="G125" s="113"/>
      <c r="H125" s="77"/>
    </row>
    <row r="126" spans="2:8" ht="12" customHeight="1">
      <c r="B126" s="82" t="s">
        <v>203</v>
      </c>
      <c r="C126" s="108">
        <f>IF(SUM(C106:C125)-SUM(D106:D125)&lt;0,"Fejl",SUM(C106:C125)-SUM(D106:D125))</f>
        <v>1060235</v>
      </c>
      <c r="D126" s="108"/>
      <c r="E126" s="83"/>
      <c r="F126" s="108">
        <f>IF(SUM(F106:F125)-SUM(G106:G125)&lt;0,"Fejl",SUM(F106:F125)-SUM(G106:G125))</f>
        <v>1091701</v>
      </c>
      <c r="G126" s="108"/>
      <c r="H126" s="77"/>
    </row>
    <row r="127" spans="2:8" ht="12" customHeight="1">
      <c r="B127" s="82"/>
      <c r="C127" s="114"/>
      <c r="D127" s="114"/>
      <c r="E127" s="83"/>
      <c r="F127" s="111"/>
      <c r="G127" s="111"/>
      <c r="H127" s="77"/>
    </row>
    <row r="128" spans="2:8" ht="12" customHeight="1">
      <c r="B128" s="74" t="s">
        <v>201</v>
      </c>
      <c r="C128" s="111"/>
      <c r="D128" s="111"/>
      <c r="E128" s="83"/>
      <c r="F128" s="111"/>
      <c r="G128" s="111"/>
      <c r="H128" s="77"/>
    </row>
    <row r="129" spans="2:8" ht="12" customHeight="1">
      <c r="B129" s="73" t="s">
        <v>72</v>
      </c>
      <c r="C129" s="110">
        <v>377264</v>
      </c>
      <c r="D129" s="111"/>
      <c r="E129" s="83"/>
      <c r="F129" s="110">
        <v>83728</v>
      </c>
      <c r="G129" s="111"/>
      <c r="H129" s="77"/>
    </row>
    <row r="130" spans="2:8" ht="12" customHeight="1">
      <c r="B130" s="73" t="s">
        <v>195</v>
      </c>
      <c r="C130" s="110">
        <v>313462</v>
      </c>
      <c r="D130" s="111"/>
      <c r="E130" s="83"/>
      <c r="F130" s="110">
        <f>354000-109728</f>
        <v>244272</v>
      </c>
      <c r="G130" s="111"/>
      <c r="H130" s="77"/>
    </row>
    <row r="131" spans="2:8" ht="12" customHeight="1">
      <c r="B131" s="73" t="s">
        <v>196</v>
      </c>
      <c r="C131" s="111"/>
      <c r="D131" s="110">
        <v>50000</v>
      </c>
      <c r="E131" s="83"/>
      <c r="F131" s="111"/>
      <c r="G131" s="110">
        <v>50000</v>
      </c>
      <c r="H131" s="77"/>
    </row>
    <row r="132" spans="2:8" ht="12" customHeight="1">
      <c r="B132" s="73" t="s">
        <v>75</v>
      </c>
      <c r="C132" s="110">
        <v>36428</v>
      </c>
      <c r="D132" s="111"/>
      <c r="E132" s="83"/>
      <c r="F132" s="110">
        <v>4034</v>
      </c>
      <c r="G132" s="111"/>
      <c r="H132" s="77"/>
    </row>
    <row r="133" spans="2:8" ht="12" customHeight="1">
      <c r="B133" s="73" t="s">
        <v>77</v>
      </c>
      <c r="C133" s="110">
        <v>51775</v>
      </c>
      <c r="D133" s="111"/>
      <c r="E133" s="83"/>
      <c r="F133" s="110">
        <v>0</v>
      </c>
      <c r="G133" s="111"/>
      <c r="H133" s="77"/>
    </row>
    <row r="134" spans="2:8" ht="12" customHeight="1">
      <c r="B134" s="73"/>
      <c r="C134" s="111"/>
      <c r="D134" s="111"/>
      <c r="E134" s="83"/>
      <c r="F134" s="111"/>
      <c r="G134" s="111"/>
      <c r="H134" s="77"/>
    </row>
    <row r="135" spans="2:8" ht="12" customHeight="1">
      <c r="B135" s="73" t="s">
        <v>461</v>
      </c>
      <c r="C135" s="110">
        <v>0</v>
      </c>
      <c r="D135" s="111"/>
      <c r="E135" s="83"/>
      <c r="F135" s="110">
        <v>0</v>
      </c>
      <c r="G135" s="111"/>
      <c r="H135" s="77"/>
    </row>
    <row r="136" spans="2:8" ht="12" customHeight="1">
      <c r="B136" s="73"/>
      <c r="C136" s="111"/>
      <c r="D136" s="111"/>
      <c r="E136" s="83"/>
      <c r="F136" s="111"/>
      <c r="G136" s="111"/>
      <c r="H136" s="77"/>
    </row>
    <row r="137" spans="2:8" ht="12" customHeight="1">
      <c r="B137" s="73" t="s">
        <v>198</v>
      </c>
      <c r="C137" s="110">
        <v>15645</v>
      </c>
      <c r="D137" s="111"/>
      <c r="E137" s="83"/>
      <c r="F137" s="110">
        <v>17867</v>
      </c>
      <c r="G137" s="111"/>
      <c r="H137" s="77"/>
    </row>
    <row r="138" spans="2:8" ht="12" customHeight="1">
      <c r="B138" s="73" t="s">
        <v>199</v>
      </c>
      <c r="C138" s="110">
        <v>96414</v>
      </c>
      <c r="D138" s="111"/>
      <c r="E138" s="83"/>
      <c r="F138" s="110">
        <v>87654</v>
      </c>
      <c r="G138" s="111"/>
      <c r="H138" s="77"/>
    </row>
    <row r="139" spans="2:8" ht="12" customHeight="1">
      <c r="B139" s="73" t="s">
        <v>200</v>
      </c>
      <c r="C139" s="110">
        <v>80567</v>
      </c>
      <c r="D139" s="111"/>
      <c r="E139" s="83"/>
      <c r="F139" s="110">
        <v>96549</v>
      </c>
      <c r="G139" s="111"/>
      <c r="H139" s="77"/>
    </row>
    <row r="140" spans="2:8" ht="12" customHeight="1">
      <c r="B140" s="73" t="s">
        <v>197</v>
      </c>
      <c r="C140" s="112">
        <v>3451</v>
      </c>
      <c r="D140" s="113"/>
      <c r="E140" s="83"/>
      <c r="F140" s="112">
        <v>8084.999999999969</v>
      </c>
      <c r="G140" s="113"/>
      <c r="H140" s="77"/>
    </row>
    <row r="141" spans="2:8" ht="12" customHeight="1">
      <c r="B141" s="82" t="s">
        <v>204</v>
      </c>
      <c r="C141" s="108">
        <f>IF(SUM(C129:C140)-SUM(D129:D140)&lt;0,"Fejl",SUM(C129:C140)-SUM(D129:D140))</f>
        <v>925006</v>
      </c>
      <c r="D141" s="115"/>
      <c r="E141" s="83"/>
      <c r="F141" s="108">
        <f>IF(SUM(F129:F140)-SUM(G129:G140)&lt;0,"Fejl",SUM(F129:F140)-SUM(G129:G140))</f>
        <v>492189</v>
      </c>
      <c r="G141" s="115"/>
      <c r="H141" s="77"/>
    </row>
    <row r="142" spans="2:8" ht="12" customHeight="1">
      <c r="B142" s="73"/>
      <c r="C142" s="113"/>
      <c r="D142" s="113"/>
      <c r="E142" s="83"/>
      <c r="F142" s="113"/>
      <c r="G142" s="113"/>
      <c r="H142" s="77"/>
    </row>
    <row r="143" spans="2:8" ht="12" customHeight="1">
      <c r="B143" s="82" t="s">
        <v>79</v>
      </c>
      <c r="C143" s="116">
        <f>C103+C126+C141</f>
        <v>1985241</v>
      </c>
      <c r="D143" s="117"/>
      <c r="E143" s="83"/>
      <c r="F143" s="116">
        <f>F103+F126+F141</f>
        <v>1583890</v>
      </c>
      <c r="G143" s="117"/>
      <c r="H143" s="77"/>
    </row>
    <row r="144" spans="2:8" ht="12" customHeight="1">
      <c r="B144" s="82"/>
      <c r="C144" s="95"/>
      <c r="D144" s="96"/>
      <c r="E144" s="83"/>
      <c r="F144" s="95"/>
      <c r="G144" s="96"/>
      <c r="H144" s="77"/>
    </row>
    <row r="145" spans="2:8" ht="12" customHeight="1">
      <c r="B145" s="73"/>
      <c r="C145" s="366">
        <f>raa1</f>
        <v>2004</v>
      </c>
      <c r="D145" s="366"/>
      <c r="E145" s="83"/>
      <c r="F145" s="366">
        <f>raa0</f>
        <v>2003</v>
      </c>
      <c r="G145" s="366"/>
      <c r="H145" s="77"/>
    </row>
    <row r="146" spans="2:8" ht="12" customHeight="1">
      <c r="B146" s="74"/>
      <c r="C146" s="94" t="s">
        <v>74</v>
      </c>
      <c r="D146" s="94" t="s">
        <v>80</v>
      </c>
      <c r="E146" s="93"/>
      <c r="F146" s="94" t="s">
        <v>74</v>
      </c>
      <c r="G146" s="94" t="s">
        <v>80</v>
      </c>
      <c r="H146" s="77"/>
    </row>
    <row r="147" spans="2:8" ht="12" customHeight="1">
      <c r="B147" s="73" t="s">
        <v>284</v>
      </c>
      <c r="C147" s="100"/>
      <c r="D147" s="100">
        <v>47037</v>
      </c>
      <c r="E147" s="97"/>
      <c r="F147" s="100"/>
      <c r="G147" s="100">
        <v>47037</v>
      </c>
      <c r="H147" s="77"/>
    </row>
    <row r="148" spans="2:8" ht="12" customHeight="1">
      <c r="B148" s="73" t="s">
        <v>285</v>
      </c>
      <c r="C148" s="106"/>
      <c r="D148" s="100">
        <v>120955</v>
      </c>
      <c r="E148" s="97"/>
      <c r="F148" s="106"/>
      <c r="G148" s="100">
        <v>-459345</v>
      </c>
      <c r="H148" s="77"/>
    </row>
    <row r="149" spans="2:8" ht="12" customHeight="1">
      <c r="B149" s="73" t="s">
        <v>15</v>
      </c>
      <c r="C149" s="106">
        <f>IF(underskud&gt;=0,underskud,0)</f>
        <v>0</v>
      </c>
      <c r="D149" s="106">
        <f>IF(overskud&gt;=0,overskud,0)</f>
        <v>703142</v>
      </c>
      <c r="E149" s="97"/>
      <c r="F149" s="106">
        <f>IF(underskud0&gt;=0,underskud0,0)</f>
        <v>0</v>
      </c>
      <c r="G149" s="106">
        <f>IF(overskud0&gt;=0,overskud0,0)</f>
        <v>580300</v>
      </c>
      <c r="H149" s="77"/>
    </row>
    <row r="150" spans="2:8" ht="12" customHeight="1">
      <c r="B150" s="73" t="s">
        <v>286</v>
      </c>
      <c r="C150" s="100">
        <v>200000</v>
      </c>
      <c r="D150" s="106"/>
      <c r="E150" s="97"/>
      <c r="F150" s="100">
        <v>0</v>
      </c>
      <c r="G150" s="106"/>
      <c r="H150" s="77"/>
    </row>
    <row r="151" spans="2:8" ht="12" customHeight="1">
      <c r="B151" s="73" t="s">
        <v>287</v>
      </c>
      <c r="C151" s="106"/>
      <c r="D151" s="100">
        <v>3754</v>
      </c>
      <c r="E151" s="97"/>
      <c r="F151" s="106"/>
      <c r="G151" s="100">
        <v>0</v>
      </c>
      <c r="H151" s="77"/>
    </row>
    <row r="152" spans="2:8" ht="12" customHeight="1">
      <c r="B152" s="74" t="str">
        <f>"Egenkapital "&amp;ultimodato</f>
        <v>Egenkapital 31/12 2004</v>
      </c>
      <c r="C152" s="108">
        <f>IF(SUM(C147:C151)-SUM(D147:D151)&lt;0,0,(SUM(C147:C151)-SUM(D147:D151)))</f>
        <v>0</v>
      </c>
      <c r="D152" s="108">
        <f>IF(SUM(C147:C151)-SUM(D147:D151)&lt;=0,-(SUM(C147:C151)-SUM(D147:D151)),0)</f>
        <v>674888</v>
      </c>
      <c r="E152" s="97"/>
      <c r="F152" s="108">
        <f>IF(SUM(F147:F151)-SUM(G147:G151)&lt;0,0,(SUM(F147:F151)-SUM(G147:G151)))</f>
        <v>0</v>
      </c>
      <c r="G152" s="108">
        <f>IF(SUM(F147:F151)-SUM(G147:G151)&lt;=0,-(SUM(F147:F151)-SUM(G147:G151)),0)</f>
        <v>167992</v>
      </c>
      <c r="H152" s="77"/>
    </row>
    <row r="153" spans="2:8" ht="12" customHeight="1">
      <c r="B153" s="73"/>
      <c r="C153" s="111"/>
      <c r="D153" s="111"/>
      <c r="F153" s="111"/>
      <c r="G153" s="111"/>
      <c r="H153" s="77"/>
    </row>
    <row r="154" spans="2:8" ht="12" customHeight="1">
      <c r="B154" s="74" t="s">
        <v>457</v>
      </c>
      <c r="C154" s="111"/>
      <c r="D154" s="111"/>
      <c r="F154" s="111"/>
      <c r="G154" s="111"/>
      <c r="H154" s="77"/>
    </row>
    <row r="155" spans="2:8" ht="12" customHeight="1">
      <c r="B155" s="73" t="s">
        <v>460</v>
      </c>
      <c r="C155" s="345"/>
      <c r="D155" s="346">
        <v>0</v>
      </c>
      <c r="F155" s="345"/>
      <c r="G155" s="346">
        <v>0</v>
      </c>
      <c r="H155" s="77"/>
    </row>
    <row r="156" spans="2:8" ht="12" customHeight="1">
      <c r="B156" s="73"/>
      <c r="C156" s="344"/>
      <c r="D156" s="347">
        <f>D155</f>
        <v>0</v>
      </c>
      <c r="F156" s="344"/>
      <c r="G156" s="347">
        <f>G155</f>
        <v>0</v>
      </c>
      <c r="H156" s="77"/>
    </row>
    <row r="157" spans="2:8" ht="12" customHeight="1">
      <c r="B157" s="73"/>
      <c r="C157" s="111"/>
      <c r="D157" s="111"/>
      <c r="F157" s="111"/>
      <c r="G157" s="111"/>
      <c r="H157" s="77"/>
    </row>
    <row r="158" spans="2:8" ht="12" customHeight="1">
      <c r="B158" s="74" t="s">
        <v>84</v>
      </c>
      <c r="C158" s="111"/>
      <c r="D158" s="111"/>
      <c r="E158" s="83"/>
      <c r="F158" s="111"/>
      <c r="G158" s="111"/>
      <c r="H158" s="77"/>
    </row>
    <row r="159" spans="2:8" ht="12" customHeight="1">
      <c r="B159" s="73" t="s">
        <v>206</v>
      </c>
      <c r="C159" s="111"/>
      <c r="D159" s="110">
        <v>723495</v>
      </c>
      <c r="E159" s="83"/>
      <c r="F159" s="111"/>
      <c r="G159" s="110">
        <v>775173</v>
      </c>
      <c r="H159" s="77"/>
    </row>
    <row r="160" spans="2:8" ht="12" customHeight="1">
      <c r="B160" s="73" t="s">
        <v>207</v>
      </c>
      <c r="C160" s="111"/>
      <c r="D160" s="100">
        <v>170173</v>
      </c>
      <c r="E160" s="83"/>
      <c r="F160" s="111"/>
      <c r="G160" s="110">
        <v>182328</v>
      </c>
      <c r="H160" s="77"/>
    </row>
    <row r="161" spans="2:8" ht="12" customHeight="1">
      <c r="B161" s="73" t="s">
        <v>205</v>
      </c>
      <c r="C161" s="112">
        <v>62239</v>
      </c>
      <c r="D161" s="113"/>
      <c r="E161" s="83"/>
      <c r="F161" s="112">
        <f>(G159+G160)/15</f>
        <v>63833.4</v>
      </c>
      <c r="G161" s="113"/>
      <c r="H161" s="77"/>
    </row>
    <row r="162" spans="2:8" ht="12" customHeight="1">
      <c r="B162" s="73"/>
      <c r="C162" s="108"/>
      <c r="D162" s="108">
        <f>IF(SUM(D159:D160)-C161&lt;0,"Fejl",SUM(D159:D160)-C161)</f>
        <v>831429</v>
      </c>
      <c r="E162" s="83"/>
      <c r="F162" s="108"/>
      <c r="G162" s="108">
        <f>IF(SUM(G159:G160)-F161&lt;0,"Fejl",SUM(G159:G160)-F161)</f>
        <v>893667.6</v>
      </c>
      <c r="H162" s="77"/>
    </row>
    <row r="163" spans="2:8" ht="12" customHeight="1">
      <c r="B163" s="73"/>
      <c r="C163" s="111"/>
      <c r="D163" s="111"/>
      <c r="E163" s="83"/>
      <c r="F163" s="111"/>
      <c r="G163" s="111"/>
      <c r="H163" s="77"/>
    </row>
    <row r="164" spans="2:8" ht="12" customHeight="1">
      <c r="B164" s="74" t="s">
        <v>85</v>
      </c>
      <c r="C164" s="111"/>
      <c r="D164" s="111"/>
      <c r="E164" s="83"/>
      <c r="F164" s="111"/>
      <c r="G164" s="111"/>
      <c r="H164" s="77"/>
    </row>
    <row r="165" spans="2:8" ht="12" customHeight="1">
      <c r="B165" s="73" t="str">
        <f>B161</f>
        <v>Kortfristet del af prioritetsgæld</v>
      </c>
      <c r="C165" s="111"/>
      <c r="D165" s="111">
        <f>C161</f>
        <v>62239</v>
      </c>
      <c r="E165" s="83"/>
      <c r="F165" s="111"/>
      <c r="G165" s="111">
        <f>F161</f>
        <v>63833.4</v>
      </c>
      <c r="H165" s="77"/>
    </row>
    <row r="166" spans="2:8" ht="12" customHeight="1">
      <c r="B166" s="73" t="s">
        <v>208</v>
      </c>
      <c r="C166" s="111"/>
      <c r="D166" s="110">
        <v>265583</v>
      </c>
      <c r="E166" s="83"/>
      <c r="F166" s="111"/>
      <c r="G166" s="110">
        <v>265287</v>
      </c>
      <c r="H166" s="77"/>
    </row>
    <row r="167" spans="2:8" ht="12" customHeight="1">
      <c r="B167" s="73" t="s">
        <v>214</v>
      </c>
      <c r="C167" s="111"/>
      <c r="D167" s="110">
        <v>0</v>
      </c>
      <c r="E167" s="83"/>
      <c r="F167" s="111"/>
      <c r="G167" s="110">
        <v>0</v>
      </c>
      <c r="H167" s="77"/>
    </row>
    <row r="168" spans="2:8" ht="12" customHeight="1">
      <c r="B168" s="73" t="s">
        <v>209</v>
      </c>
      <c r="C168" s="111"/>
      <c r="D168" s="110">
        <v>0</v>
      </c>
      <c r="E168" s="83"/>
      <c r="F168" s="111"/>
      <c r="G168" s="110">
        <v>30198</v>
      </c>
      <c r="H168" s="77"/>
    </row>
    <row r="169" spans="2:8" ht="12" customHeight="1">
      <c r="B169" s="73" t="s">
        <v>210</v>
      </c>
      <c r="C169" s="111"/>
      <c r="D169" s="110">
        <v>0</v>
      </c>
      <c r="E169" s="83"/>
      <c r="F169" s="111"/>
      <c r="G169" s="110">
        <v>0</v>
      </c>
      <c r="H169" s="77"/>
    </row>
    <row r="170" spans="2:8" ht="12" customHeight="1">
      <c r="B170" s="73" t="s">
        <v>211</v>
      </c>
      <c r="C170" s="111"/>
      <c r="D170" s="110">
        <v>0</v>
      </c>
      <c r="E170" s="83"/>
      <c r="F170" s="111"/>
      <c r="G170" s="110">
        <v>0</v>
      </c>
      <c r="H170" s="77"/>
    </row>
    <row r="171" spans="2:8" ht="12" customHeight="1">
      <c r="B171" s="73" t="s">
        <v>220</v>
      </c>
      <c r="C171" s="111"/>
      <c r="D171" s="110">
        <v>0</v>
      </c>
      <c r="E171" s="83"/>
      <c r="F171" s="111"/>
      <c r="G171" s="110">
        <v>10836</v>
      </c>
      <c r="H171" s="77"/>
    </row>
    <row r="172" spans="2:8" ht="12" customHeight="1">
      <c r="B172" s="73" t="s">
        <v>212</v>
      </c>
      <c r="C172" s="111"/>
      <c r="D172" s="110">
        <f>19438+3498</f>
        <v>22936</v>
      </c>
      <c r="E172" s="83"/>
      <c r="F172" s="111"/>
      <c r="G172" s="100">
        <f>20000+3327</f>
        <v>23327</v>
      </c>
      <c r="H172" s="77"/>
    </row>
    <row r="173" spans="2:8" ht="12" customHeight="1">
      <c r="B173" s="73" t="s">
        <v>213</v>
      </c>
      <c r="C173" s="113"/>
      <c r="D173" s="112">
        <v>0</v>
      </c>
      <c r="E173" s="83"/>
      <c r="F173" s="113"/>
      <c r="G173" s="112">
        <v>0</v>
      </c>
      <c r="H173" s="77"/>
    </row>
    <row r="174" spans="2:8" ht="12" customHeight="1">
      <c r="B174" s="73" t="s">
        <v>222</v>
      </c>
      <c r="C174" s="113"/>
      <c r="D174" s="112">
        <v>42512</v>
      </c>
      <c r="E174" s="83"/>
      <c r="F174" s="113"/>
      <c r="G174" s="112">
        <v>48273</v>
      </c>
      <c r="H174" s="77"/>
    </row>
    <row r="175" spans="2:8" ht="12" customHeight="1">
      <c r="B175" s="73" t="s">
        <v>221</v>
      </c>
      <c r="C175" s="113"/>
      <c r="D175" s="112">
        <v>2230</v>
      </c>
      <c r="E175" s="83"/>
      <c r="F175" s="113"/>
      <c r="G175" s="112">
        <v>4023</v>
      </c>
      <c r="H175" s="77"/>
    </row>
    <row r="176" spans="2:8" ht="12" customHeight="1">
      <c r="B176" s="73"/>
      <c r="C176" s="108"/>
      <c r="D176" s="108">
        <f>SUM(D165:D175)</f>
        <v>395500</v>
      </c>
      <c r="E176" s="83"/>
      <c r="F176" s="108"/>
      <c r="G176" s="108">
        <f>SUM(G165:G175)</f>
        <v>445777.4</v>
      </c>
      <c r="H176" s="77"/>
    </row>
    <row r="177" spans="2:8" ht="12" customHeight="1">
      <c r="B177" s="73"/>
      <c r="C177" s="111"/>
      <c r="D177" s="111"/>
      <c r="E177" s="83"/>
      <c r="F177" s="111"/>
      <c r="G177" s="111"/>
      <c r="H177" s="77"/>
    </row>
    <row r="178" spans="2:8" ht="12" customHeight="1">
      <c r="B178" s="73" t="str">
        <f>IF(C178&lt;&gt;"","Tilgodehavende moms "&amp;primodato,"Skyldig moms "&amp;primodato)</f>
        <v>Skyldig moms 1/1 2004</v>
      </c>
      <c r="C178" s="111">
        <f>IF(F183&lt;&gt;"",F183,"")</f>
      </c>
      <c r="D178" s="111">
        <f>IF(G183&lt;&gt;"",G183,"")</f>
        <v>76453</v>
      </c>
      <c r="E178" s="83"/>
      <c r="F178" s="111"/>
      <c r="G178" s="110">
        <v>72076</v>
      </c>
      <c r="H178" s="77"/>
    </row>
    <row r="179" spans="2:8" ht="12" customHeight="1">
      <c r="B179" s="73" t="s">
        <v>215</v>
      </c>
      <c r="C179" s="111"/>
      <c r="D179" s="110">
        <v>1008976</v>
      </c>
      <c r="E179" s="83"/>
      <c r="F179" s="111"/>
      <c r="G179" s="110">
        <v>862435</v>
      </c>
      <c r="H179" s="77"/>
    </row>
    <row r="180" spans="2:8" ht="12" customHeight="1">
      <c r="B180" s="73" t="s">
        <v>216</v>
      </c>
      <c r="C180" s="110">
        <v>643098</v>
      </c>
      <c r="D180" s="111"/>
      <c r="E180" s="83"/>
      <c r="F180" s="110">
        <v>535915</v>
      </c>
      <c r="G180" s="111"/>
      <c r="H180" s="77"/>
    </row>
    <row r="181" spans="2:8" ht="12" customHeight="1">
      <c r="B181" s="73" t="s">
        <v>217</v>
      </c>
      <c r="C181" s="110">
        <v>0</v>
      </c>
      <c r="D181" s="111"/>
      <c r="E181" s="83"/>
      <c r="F181" s="110">
        <v>0</v>
      </c>
      <c r="G181" s="111"/>
      <c r="H181" s="77"/>
    </row>
    <row r="182" spans="2:8" ht="12" customHeight="1">
      <c r="B182" s="73" t="s">
        <v>218</v>
      </c>
      <c r="C182" s="112">
        <v>358907</v>
      </c>
      <c r="D182" s="113"/>
      <c r="E182" s="83"/>
      <c r="F182" s="112">
        <f>72076+250067</f>
        <v>322143</v>
      </c>
      <c r="G182" s="113"/>
      <c r="H182" s="77"/>
    </row>
    <row r="183" spans="2:8" ht="12" customHeight="1">
      <c r="B183" s="73" t="str">
        <f>IF(C183&lt;&gt;"","Tilgodehavende moms "&amp;ultimodato,"Skyldig moms "&amp;ultimodato)</f>
        <v>Skyldig moms 31/12 2004</v>
      </c>
      <c r="C183" s="108">
        <f>IF(SUM(D178:D179)-SUM(C180:C182)&lt;0,-(SUM(D178:D179)-SUM(C180:C182)),"")</f>
      </c>
      <c r="D183" s="108">
        <f>IF(SUM(D178:D179)-SUM(C180:C182)&gt;=0,SUM(D178:D179)-SUM(C180:C182),"")</f>
        <v>83424</v>
      </c>
      <c r="E183" s="83"/>
      <c r="F183" s="108">
        <f>IF(SUM(G178:G179)-SUM(F180:F182)&lt;0,-(SUM(G178:G179)-SUM(F180:F182)),"")</f>
      </c>
      <c r="G183" s="108">
        <f>IF(SUM(G178:G179)-SUM(F180:F182)&gt;=0,SUM(G178:G179)-SUM(F180:F182),"")</f>
        <v>76453</v>
      </c>
      <c r="H183" s="77"/>
    </row>
    <row r="184" spans="2:8" ht="12" customHeight="1">
      <c r="B184" s="73"/>
      <c r="C184" s="111"/>
      <c r="D184" s="111"/>
      <c r="E184" s="83"/>
      <c r="F184" s="111"/>
      <c r="G184" s="111"/>
      <c r="H184" s="77"/>
    </row>
    <row r="185" spans="2:8" ht="12" customHeight="1">
      <c r="B185" s="73"/>
      <c r="C185" s="111"/>
      <c r="D185" s="111"/>
      <c r="E185" s="83"/>
      <c r="F185" s="111"/>
      <c r="G185" s="111"/>
      <c r="H185" s="77"/>
    </row>
    <row r="186" spans="2:8" ht="12" customHeight="1">
      <c r="B186" s="82" t="s">
        <v>82</v>
      </c>
      <c r="C186" s="116"/>
      <c r="D186" s="116">
        <f>D152+D155+D162+D176+IF(C183="",D183,C183)</f>
        <v>1985241</v>
      </c>
      <c r="E186" s="83"/>
      <c r="F186" s="116"/>
      <c r="G186" s="116">
        <f>G152+G156+G162+G176+IF(F183="",G183,F183)</f>
        <v>1583890</v>
      </c>
      <c r="H186" s="77"/>
    </row>
    <row r="187" spans="2:8" ht="12" customHeight="1">
      <c r="B187" s="79"/>
      <c r="C187" s="80"/>
      <c r="D187" s="80"/>
      <c r="E187" s="80"/>
      <c r="F187" s="80"/>
      <c r="G187" s="80"/>
      <c r="H187" s="81"/>
    </row>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sheetData>
  <mergeCells count="11">
    <mergeCell ref="C145:D145"/>
    <mergeCell ref="F145:G145"/>
    <mergeCell ref="C94:D94"/>
    <mergeCell ref="F94:G94"/>
    <mergeCell ref="B5:H5"/>
    <mergeCell ref="C6:D6"/>
    <mergeCell ref="F6:G6"/>
    <mergeCell ref="B2:B4"/>
    <mergeCell ref="C2:D4"/>
    <mergeCell ref="E2:F4"/>
    <mergeCell ref="G2:H4"/>
  </mergeCells>
  <conditionalFormatting sqref="C152:D152 F152:G152">
    <cfRule type="cellIs" priority="1" dxfId="0" operator="equal" stopIfTrue="1">
      <formula>0</formula>
    </cfRule>
  </conditionalFormatting>
  <conditionalFormatting sqref="C19:D19 F19:G19 C92:D92 F92:G92 C149:D149 F149:G149">
    <cfRule type="cellIs" priority="2" dxfId="1" operator="equal" stopIfTrue="1">
      <formula>0</formula>
    </cfRule>
  </conditionalFormatting>
  <dataValidations count="3">
    <dataValidation errorStyle="warning" type="whole" operator="greaterThanOrEqual" allowBlank="1" showInputMessage="1" showErrorMessage="1" errorTitle="Negativt eller ej helt tal!" error="Du har indtastet et negativt tal eller et decimaltal.&#10;&#10;Indtastningen bør ikke være negativ, med mindre der er tale om en modregning.&#10;&#10;Alle indtastninger bør foretages som hele tal (ingen decimaltal)." sqref="F153:G157 C153:D157 C158:G187 F129:F136 G129:G144 F141:F144 F145:G146 G147:G151 C141:C152 E147:F152 F93:G128 E7:F92 G13:G92 C7:C136 D7:D11 G7:G11 E93:E146 D13:D151">
      <formula1>0</formula1>
    </dataValidation>
    <dataValidation errorStyle="warning" type="whole" operator="greaterThanOrEqual" allowBlank="1" showInputMessage="1" showErrorMessage="1" errorTitle="Negativt eller ej helt tal!" error="Du har indtastet et negativt tal eller et decimaltal.&#10;&#10;Indtastningen bør ikke være negativ. Såfremt der er negativt indestående på kontoen skal denne tastes under passivposterne nedenfor." sqref="C137:C140 F137:F140">
      <formula1>0</formula1>
    </dataValidation>
    <dataValidation type="whole" operator="greaterThanOrEqual" allowBlank="1" showInputMessage="1" showErrorMessage="1" errorTitle="Negativt eller ej helt tal!" error="Du har indtastet et negativt tal eller et decimaltal.&#10;&#10;Mellemregning med indehaver må ikke være negativ. Såfremt dette er tilfældet, skal der foretages udligning af det negative beløb." sqref="D152 G152">
      <formula1>0</formula1>
    </dataValidation>
  </dataValidations>
  <printOptions/>
  <pageMargins left="0.984251968503937" right="0.3937007874015748" top="0.3937007874015748" bottom="0.3937007874015748" header="0" footer="0"/>
  <pageSetup horizontalDpi="600" verticalDpi="600" orientation="portrait" paperSize="9" r:id="rId2"/>
  <ignoredErrors>
    <ignoredError sqref="D100 D116 D123" formulaRange="1"/>
  </ignoredErrors>
  <legacyDrawing r:id="rId1"/>
</worksheet>
</file>

<file path=xl/worksheets/sheet4.xml><?xml version="1.0" encoding="utf-8"?>
<worksheet xmlns="http://schemas.openxmlformats.org/spreadsheetml/2006/main" xmlns:r="http://schemas.openxmlformats.org/officeDocument/2006/relationships">
  <sheetPr codeName="Ark16">
    <pageSetUpPr fitToPage="1"/>
  </sheetPr>
  <dimension ref="A1:O121"/>
  <sheetViews>
    <sheetView showGridLines="0" showRowColHeaders="0" workbookViewId="0" topLeftCell="A1">
      <pane ySplit="5" topLeftCell="BM6" activePane="bottomLeft" state="frozen"/>
      <selection pane="topLeft" activeCell="A1" sqref="A1"/>
      <selection pane="bottomLeft" activeCell="A6" sqref="A6"/>
    </sheetView>
  </sheetViews>
  <sheetFormatPr defaultColWidth="9.140625" defaultRowHeight="12.75" customHeight="1"/>
  <cols>
    <col min="1" max="2" width="1.7109375" style="41" customWidth="1"/>
    <col min="3" max="3" width="10.7109375" style="41" customWidth="1"/>
    <col min="4" max="4" width="1.7109375" style="41" customWidth="1"/>
    <col min="5" max="5" width="10.7109375" style="41" customWidth="1"/>
    <col min="6" max="6" width="1.7109375" style="41" customWidth="1"/>
    <col min="7" max="7" width="10.7109375" style="41" customWidth="1"/>
    <col min="8" max="8" width="11.7109375" style="41" customWidth="1"/>
    <col min="9" max="9" width="1.7109375" style="41" customWidth="1"/>
    <col min="10" max="10" width="10.7109375" style="41" customWidth="1"/>
    <col min="11" max="11" width="1.7109375" style="41" customWidth="1"/>
    <col min="12" max="12" width="10.7109375" style="41" customWidth="1"/>
    <col min="13" max="13" width="1.7109375" style="41" customWidth="1"/>
    <col min="14" max="14" width="10.7109375" style="41" customWidth="1"/>
    <col min="15" max="16" width="1.7109375" style="41" customWidth="1"/>
    <col min="17" max="16384" width="9.140625" style="41" customWidth="1"/>
  </cols>
  <sheetData>
    <row r="1" spans="1:14" ht="7.5" customHeight="1">
      <c r="A1" s="1"/>
      <c r="B1" s="1"/>
      <c r="C1" s="1"/>
      <c r="D1" s="1"/>
      <c r="E1" s="1"/>
      <c r="F1" s="1"/>
      <c r="G1" s="1"/>
      <c r="H1" s="137"/>
      <c r="I1" s="137"/>
      <c r="J1" s="137"/>
      <c r="K1" s="137"/>
      <c r="L1" s="137"/>
      <c r="M1" s="137"/>
      <c r="N1" s="137"/>
    </row>
    <row r="2" spans="1:15" ht="10.5" customHeight="1">
      <c r="A2" s="1"/>
      <c r="B2" s="367" t="s">
        <v>117</v>
      </c>
      <c r="C2" s="140"/>
      <c r="D2" s="140"/>
      <c r="E2" s="373"/>
      <c r="F2" s="373"/>
      <c r="G2" s="370" t="s">
        <v>428</v>
      </c>
      <c r="H2" s="370"/>
      <c r="I2" s="370"/>
      <c r="J2" s="370"/>
      <c r="K2" s="141"/>
      <c r="L2" s="140"/>
      <c r="M2" s="375" t="s">
        <v>118</v>
      </c>
      <c r="N2" s="386"/>
      <c r="O2" s="387"/>
    </row>
    <row r="3" spans="1:15" ht="10.5" customHeight="1">
      <c r="A3" s="1"/>
      <c r="B3" s="368"/>
      <c r="C3" s="142"/>
      <c r="D3" s="142"/>
      <c r="E3" s="349"/>
      <c r="F3" s="349"/>
      <c r="G3" s="371"/>
      <c r="H3" s="371"/>
      <c r="I3" s="371"/>
      <c r="J3" s="371"/>
      <c r="K3" s="137"/>
      <c r="L3" s="142"/>
      <c r="M3" s="388"/>
      <c r="N3" s="388"/>
      <c r="O3" s="389"/>
    </row>
    <row r="4" spans="1:15" ht="9.75" customHeight="1">
      <c r="A4" s="1"/>
      <c r="B4" s="369"/>
      <c r="C4" s="143"/>
      <c r="D4" s="143"/>
      <c r="E4" s="374"/>
      <c r="F4" s="374"/>
      <c r="G4" s="372"/>
      <c r="H4" s="372"/>
      <c r="I4" s="372"/>
      <c r="J4" s="372"/>
      <c r="K4" s="144"/>
      <c r="L4" s="143"/>
      <c r="M4" s="390"/>
      <c r="N4" s="390"/>
      <c r="O4" s="391"/>
    </row>
    <row r="5" spans="1:15" ht="12" customHeight="1">
      <c r="A5" s="1"/>
      <c r="B5" s="138"/>
      <c r="C5" s="139"/>
      <c r="D5" s="139"/>
      <c r="E5" s="139"/>
      <c r="F5" s="139"/>
      <c r="G5" s="139"/>
      <c r="H5" s="141"/>
      <c r="I5" s="141"/>
      <c r="J5" s="141"/>
      <c r="K5" s="141"/>
      <c r="L5" s="141"/>
      <c r="M5" s="141"/>
      <c r="N5" s="141"/>
      <c r="O5" s="145"/>
    </row>
    <row r="6" spans="1:15" ht="12" customHeight="1">
      <c r="A6" s="1"/>
      <c r="B6" s="75"/>
      <c r="C6" s="157" t="s">
        <v>233</v>
      </c>
      <c r="D6" s="153"/>
      <c r="E6" s="76"/>
      <c r="F6" s="153"/>
      <c r="G6" s="153"/>
      <c r="H6" s="137"/>
      <c r="I6" s="137"/>
      <c r="J6" s="137"/>
      <c r="K6" s="137"/>
      <c r="L6" s="137"/>
      <c r="M6" s="137"/>
      <c r="N6" s="137"/>
      <c r="O6" s="146"/>
    </row>
    <row r="7" spans="1:15" ht="12" customHeight="1">
      <c r="A7" s="1"/>
      <c r="B7" s="78"/>
      <c r="C7" s="381" t="s">
        <v>235</v>
      </c>
      <c r="D7" s="381"/>
      <c r="E7" s="381"/>
      <c r="F7" s="381"/>
      <c r="G7" s="381"/>
      <c r="H7" s="381"/>
      <c r="I7" s="381"/>
      <c r="J7" s="381"/>
      <c r="K7" s="381"/>
      <c r="L7" s="381"/>
      <c r="M7" s="381"/>
      <c r="N7" s="381"/>
      <c r="O7" s="146"/>
    </row>
    <row r="8" spans="1:15" ht="24" customHeight="1">
      <c r="A8" s="1"/>
      <c r="B8" s="75"/>
      <c r="C8" s="383" t="s">
        <v>236</v>
      </c>
      <c r="D8" s="399"/>
      <c r="E8" s="399"/>
      <c r="F8" s="399"/>
      <c r="G8" s="399"/>
      <c r="H8" s="399"/>
      <c r="I8" s="399"/>
      <c r="J8" s="399"/>
      <c r="K8" s="399"/>
      <c r="L8" s="399"/>
      <c r="M8" s="399"/>
      <c r="N8" s="400"/>
      <c r="O8" s="146"/>
    </row>
    <row r="9" spans="1:15" ht="12" customHeight="1">
      <c r="A9" s="1"/>
      <c r="B9" s="147"/>
      <c r="C9" s="159"/>
      <c r="D9" s="156"/>
      <c r="E9" s="83"/>
      <c r="F9" s="156"/>
      <c r="H9" s="137"/>
      <c r="I9" s="137"/>
      <c r="J9" s="137"/>
      <c r="K9" s="137"/>
      <c r="L9" s="137"/>
      <c r="M9" s="137"/>
      <c r="N9" s="137"/>
      <c r="O9" s="146"/>
    </row>
    <row r="10" spans="1:15" ht="12" customHeight="1">
      <c r="A10" s="1"/>
      <c r="B10" s="147"/>
      <c r="C10" s="382" t="s">
        <v>237</v>
      </c>
      <c r="D10" s="382"/>
      <c r="E10" s="382"/>
      <c r="F10" s="382"/>
      <c r="G10" s="382"/>
      <c r="H10" s="382"/>
      <c r="I10" s="382"/>
      <c r="J10" s="382"/>
      <c r="K10" s="382"/>
      <c r="L10" s="382"/>
      <c r="M10" s="382"/>
      <c r="N10" s="401"/>
      <c r="O10" s="146"/>
    </row>
    <row r="11" spans="1:15" ht="24" customHeight="1">
      <c r="A11" s="1"/>
      <c r="B11" s="147"/>
      <c r="C11" s="383" t="s">
        <v>236</v>
      </c>
      <c r="D11" s="384"/>
      <c r="E11" s="384"/>
      <c r="F11" s="384"/>
      <c r="G11" s="384"/>
      <c r="H11" s="384"/>
      <c r="I11" s="384"/>
      <c r="J11" s="384"/>
      <c r="K11" s="384"/>
      <c r="L11" s="384"/>
      <c r="M11" s="385"/>
      <c r="N11" s="160" t="b">
        <v>1</v>
      </c>
      <c r="O11" s="146"/>
    </row>
    <row r="12" spans="1:15" ht="12" customHeight="1">
      <c r="A12" s="1"/>
      <c r="B12" s="148"/>
      <c r="C12" s="158"/>
      <c r="D12" s="156"/>
      <c r="E12" s="83"/>
      <c r="F12" s="156"/>
      <c r="H12" s="137"/>
      <c r="I12" s="137"/>
      <c r="J12" s="137"/>
      <c r="K12" s="137"/>
      <c r="L12" s="137"/>
      <c r="M12" s="137"/>
      <c r="N12" s="137"/>
      <c r="O12" s="146"/>
    </row>
    <row r="13" spans="1:15" ht="12" customHeight="1">
      <c r="A13" s="1"/>
      <c r="B13" s="149"/>
      <c r="C13" s="382" t="s">
        <v>238</v>
      </c>
      <c r="D13" s="381"/>
      <c r="E13" s="381"/>
      <c r="F13" s="381"/>
      <c r="G13" s="381"/>
      <c r="H13" s="381"/>
      <c r="I13" s="381"/>
      <c r="J13" s="381"/>
      <c r="K13" s="381"/>
      <c r="L13" s="381"/>
      <c r="M13" s="381"/>
      <c r="N13" s="381"/>
      <c r="O13" s="146"/>
    </row>
    <row r="14" spans="2:15" ht="12" customHeight="1">
      <c r="B14" s="150"/>
      <c r="C14" s="393" t="str">
        <f>IF(underskud=0,"Årets resultat på "&amp;TEXT(overskud,"###.###.###")&amp;" kr. ","Årets underskud på "&amp;TEXT(underskud,"###.###.###")&amp;" kr.")</f>
        <v>Årets resultat på 703.142 kr. </v>
      </c>
      <c r="D14" s="394"/>
      <c r="E14" s="394"/>
      <c r="F14" s="395" t="s">
        <v>239</v>
      </c>
      <c r="G14" s="395"/>
      <c r="H14" s="395"/>
      <c r="I14" s="395"/>
      <c r="J14" s="395"/>
      <c r="K14" s="395"/>
      <c r="L14" s="395"/>
      <c r="M14" s="395"/>
      <c r="N14" s="396"/>
      <c r="O14" s="146"/>
    </row>
    <row r="15" spans="2:15" ht="12" customHeight="1">
      <c r="B15" s="150"/>
      <c r="F15" s="397"/>
      <c r="G15" s="397"/>
      <c r="H15" s="397"/>
      <c r="I15" s="397"/>
      <c r="J15" s="397"/>
      <c r="K15" s="397"/>
      <c r="L15" s="397"/>
      <c r="M15" s="397"/>
      <c r="N15" s="398"/>
      <c r="O15" s="146"/>
    </row>
    <row r="16" spans="2:15" ht="12" customHeight="1">
      <c r="B16" s="150"/>
      <c r="O16" s="146"/>
    </row>
    <row r="17" spans="2:15" ht="12" customHeight="1">
      <c r="B17" s="150"/>
      <c r="C17" s="382" t="s">
        <v>240</v>
      </c>
      <c r="D17" s="381"/>
      <c r="E17" s="381"/>
      <c r="F17" s="381"/>
      <c r="G17" s="381"/>
      <c r="H17" s="381"/>
      <c r="I17" s="381"/>
      <c r="J17" s="381"/>
      <c r="K17" s="381"/>
      <c r="L17" s="381"/>
      <c r="M17" s="381"/>
      <c r="N17" s="392"/>
      <c r="O17" s="146"/>
    </row>
    <row r="18" spans="2:15" ht="24" customHeight="1">
      <c r="B18" s="150"/>
      <c r="C18" s="383" t="s">
        <v>241</v>
      </c>
      <c r="D18" s="384"/>
      <c r="E18" s="384"/>
      <c r="F18" s="384"/>
      <c r="G18" s="384"/>
      <c r="H18" s="384"/>
      <c r="I18" s="384"/>
      <c r="J18" s="384"/>
      <c r="K18" s="384"/>
      <c r="L18" s="384"/>
      <c r="M18" s="385"/>
      <c r="N18" s="160" t="b">
        <v>1</v>
      </c>
      <c r="O18" s="146"/>
    </row>
    <row r="19" spans="2:15" ht="12" customHeight="1">
      <c r="B19" s="154"/>
      <c r="C19" s="158"/>
      <c r="D19" s="155"/>
      <c r="E19" s="155"/>
      <c r="F19" s="155"/>
      <c r="G19" s="155"/>
      <c r="H19" s="155"/>
      <c r="I19" s="155"/>
      <c r="J19" s="155"/>
      <c r="K19" s="155"/>
      <c r="L19" s="137"/>
      <c r="M19" s="137"/>
      <c r="N19" s="137"/>
      <c r="O19" s="146"/>
    </row>
    <row r="20" spans="2:15" ht="12" customHeight="1">
      <c r="B20" s="164"/>
      <c r="C20" s="165"/>
      <c r="D20" s="166"/>
      <c r="E20" s="166"/>
      <c r="F20" s="166"/>
      <c r="G20" s="166"/>
      <c r="H20" s="166"/>
      <c r="I20" s="166"/>
      <c r="J20" s="166"/>
      <c r="K20" s="166"/>
      <c r="L20" s="166"/>
      <c r="M20" s="166"/>
      <c r="N20" s="166"/>
      <c r="O20" s="167"/>
    </row>
    <row r="21" spans="2:15" ht="12" customHeight="1">
      <c r="B21" s="150"/>
      <c r="C21" s="157" t="s">
        <v>245</v>
      </c>
      <c r="D21" s="153"/>
      <c r="E21" s="76"/>
      <c r="F21" s="153"/>
      <c r="G21" s="153"/>
      <c r="H21" s="137"/>
      <c r="I21" s="137"/>
      <c r="J21" s="137"/>
      <c r="K21" s="137"/>
      <c r="L21" s="137"/>
      <c r="M21" s="137"/>
      <c r="N21" s="137"/>
      <c r="O21" s="146"/>
    </row>
    <row r="22" spans="2:15" ht="12" customHeight="1">
      <c r="B22" s="150"/>
      <c r="C22" s="157"/>
      <c r="D22" s="153"/>
      <c r="E22" s="76"/>
      <c r="F22" s="153"/>
      <c r="G22" s="153"/>
      <c r="H22" s="137"/>
      <c r="I22" s="137"/>
      <c r="J22" s="137"/>
      <c r="K22" s="137"/>
      <c r="L22" s="137"/>
      <c r="M22" s="137"/>
      <c r="N22" s="137"/>
      <c r="O22" s="146"/>
    </row>
    <row r="23" spans="2:15" ht="24" customHeight="1">
      <c r="B23" s="150"/>
      <c r="C23" s="402" t="str">
        <f>"Årsrapporten for "&amp;fnavn2&amp;" for "&amp;raa1&amp;" er aflagt i overensstemmelse med årsregnskabslovens bestemmelser for "&amp;IF(aps=TRUE,"klasse B-virksomheder.","klasse A-virksomheder. Herudover har virksomheden valgt at følge reglerne for klasse B om ledelsesberetningen, jf. årsregnskabslovens § 77.")</f>
        <v>Årsrapporten for Elstrøm for 2004 er aflagt i overensstemmelse med årsregnskabslovens bestemmelser for klasse A-virksomheder. Herudover har virksomheden valgt at følge reglerne for klasse B om ledelsesberetningen, jf. årsregnskabslovens § 77.</v>
      </c>
      <c r="D23" s="403"/>
      <c r="E23" s="403"/>
      <c r="F23" s="403"/>
      <c r="G23" s="403"/>
      <c r="H23" s="403"/>
      <c r="I23" s="403"/>
      <c r="J23" s="403"/>
      <c r="K23" s="403"/>
      <c r="L23" s="403"/>
      <c r="M23" s="403"/>
      <c r="N23" s="403"/>
      <c r="O23" s="146"/>
    </row>
    <row r="24" spans="2:15" ht="12" customHeight="1">
      <c r="B24" s="150"/>
      <c r="C24" s="157"/>
      <c r="D24" s="153"/>
      <c r="E24" s="76"/>
      <c r="F24" s="153"/>
      <c r="G24" s="153"/>
      <c r="H24" s="137"/>
      <c r="I24" s="137"/>
      <c r="J24" s="137"/>
      <c r="K24" s="137"/>
      <c r="L24" s="137"/>
      <c r="M24" s="137"/>
      <c r="N24" s="137"/>
      <c r="O24" s="146"/>
    </row>
    <row r="25" spans="2:15" ht="12" customHeight="1">
      <c r="B25" s="150"/>
      <c r="C25" s="381"/>
      <c r="D25" s="381"/>
      <c r="E25" s="381"/>
      <c r="F25" s="381"/>
      <c r="G25" s="381"/>
      <c r="H25" s="381"/>
      <c r="I25" s="381"/>
      <c r="J25" s="381"/>
      <c r="K25" s="381"/>
      <c r="L25" s="381"/>
      <c r="M25" s="381"/>
      <c r="N25" s="392"/>
      <c r="O25" s="146"/>
    </row>
    <row r="26" spans="2:15" ht="12" customHeight="1">
      <c r="B26" s="150"/>
      <c r="C26" s="383" t="s">
        <v>246</v>
      </c>
      <c r="D26" s="384"/>
      <c r="E26" s="384"/>
      <c r="F26" s="384"/>
      <c r="G26" s="384"/>
      <c r="H26" s="384"/>
      <c r="I26" s="384"/>
      <c r="J26" s="384"/>
      <c r="K26" s="384"/>
      <c r="L26" s="384"/>
      <c r="M26" s="385"/>
      <c r="N26" s="160" t="b">
        <v>1</v>
      </c>
      <c r="O26" s="146"/>
    </row>
    <row r="27" spans="2:15" ht="12" customHeight="1">
      <c r="B27" s="150"/>
      <c r="C27" s="178"/>
      <c r="D27" s="178"/>
      <c r="E27" s="178"/>
      <c r="F27" s="178"/>
      <c r="G27" s="178"/>
      <c r="H27" s="178"/>
      <c r="I27" s="178"/>
      <c r="J27" s="178"/>
      <c r="K27" s="178"/>
      <c r="L27" s="178"/>
      <c r="M27" s="178"/>
      <c r="N27" s="160"/>
      <c r="O27" s="146"/>
    </row>
    <row r="28" spans="2:15" ht="12" customHeight="1">
      <c r="B28" s="150"/>
      <c r="C28" s="158"/>
      <c r="D28" s="137"/>
      <c r="E28" s="137"/>
      <c r="F28" s="137"/>
      <c r="G28" s="137"/>
      <c r="H28" s="137"/>
      <c r="I28" s="137"/>
      <c r="J28" s="137"/>
      <c r="K28" s="137"/>
      <c r="L28" s="156"/>
      <c r="M28" s="137"/>
      <c r="N28" s="176"/>
      <c r="O28" s="146"/>
    </row>
    <row r="29" spans="2:15" ht="12" customHeight="1">
      <c r="B29" s="150"/>
      <c r="C29" s="168" t="s">
        <v>247</v>
      </c>
      <c r="D29" s="137"/>
      <c r="E29" s="137"/>
      <c r="F29" s="137"/>
      <c r="G29" s="137"/>
      <c r="H29" s="137"/>
      <c r="I29" s="137"/>
      <c r="J29" s="137"/>
      <c r="K29" s="137"/>
      <c r="L29" s="156"/>
      <c r="M29" s="137"/>
      <c r="N29" s="176" t="b">
        <f>IF(AND(N31=N34,N31=FALSE),FALSE,TRUE)</f>
        <v>1</v>
      </c>
      <c r="O29" s="146"/>
    </row>
    <row r="30" spans="2:15" ht="12" customHeight="1">
      <c r="B30" s="150"/>
      <c r="C30" s="169" t="s">
        <v>248</v>
      </c>
      <c r="D30" s="137"/>
      <c r="E30" s="137"/>
      <c r="F30" s="137"/>
      <c r="G30" s="137"/>
      <c r="H30" s="137"/>
      <c r="I30" s="137"/>
      <c r="J30" s="137"/>
      <c r="K30" s="137"/>
      <c r="L30" s="156"/>
      <c r="M30" s="137"/>
      <c r="N30" s="176" t="b">
        <f>N31</f>
        <v>1</v>
      </c>
      <c r="O30" s="146"/>
    </row>
    <row r="31" spans="2:15" ht="24" customHeight="1">
      <c r="B31" s="150"/>
      <c r="C31" s="383" t="s">
        <v>254</v>
      </c>
      <c r="D31" s="384"/>
      <c r="E31" s="384"/>
      <c r="F31" s="384"/>
      <c r="G31" s="384"/>
      <c r="H31" s="384"/>
      <c r="I31" s="384"/>
      <c r="J31" s="384"/>
      <c r="K31" s="384"/>
      <c r="L31" s="384"/>
      <c r="M31" s="385"/>
      <c r="N31" s="160" t="b">
        <v>1</v>
      </c>
      <c r="O31" s="146"/>
    </row>
    <row r="32" spans="2:15" ht="12" customHeight="1">
      <c r="B32" s="150"/>
      <c r="C32" s="158"/>
      <c r="D32" s="137"/>
      <c r="E32" s="137"/>
      <c r="F32" s="137"/>
      <c r="G32" s="137"/>
      <c r="H32" s="137"/>
      <c r="I32" s="137"/>
      <c r="J32" s="137"/>
      <c r="K32" s="137"/>
      <c r="L32" s="156"/>
      <c r="M32" s="137"/>
      <c r="N32" s="176"/>
      <c r="O32" s="146"/>
    </row>
    <row r="33" spans="2:15" ht="12" customHeight="1">
      <c r="B33" s="150"/>
      <c r="C33" s="169" t="s">
        <v>249</v>
      </c>
      <c r="D33" s="137"/>
      <c r="E33" s="137"/>
      <c r="F33" s="137"/>
      <c r="G33" s="137"/>
      <c r="H33" s="137"/>
      <c r="I33" s="137"/>
      <c r="J33" s="137"/>
      <c r="K33" s="137"/>
      <c r="L33" s="156"/>
      <c r="M33" s="137"/>
      <c r="N33" s="176" t="b">
        <f>N34</f>
        <v>1</v>
      </c>
      <c r="O33" s="146"/>
    </row>
    <row r="34" spans="2:15" ht="12" customHeight="1">
      <c r="B34" s="150"/>
      <c r="C34" s="383" t="s">
        <v>250</v>
      </c>
      <c r="D34" s="384"/>
      <c r="E34" s="384"/>
      <c r="F34" s="384"/>
      <c r="G34" s="384"/>
      <c r="H34" s="384"/>
      <c r="I34" s="384"/>
      <c r="J34" s="384"/>
      <c r="K34" s="384"/>
      <c r="L34" s="384"/>
      <c r="M34" s="385"/>
      <c r="N34" s="160" t="b">
        <v>1</v>
      </c>
      <c r="O34" s="146"/>
    </row>
    <row r="35" spans="2:15" ht="12" customHeight="1">
      <c r="B35" s="150"/>
      <c r="C35" s="158"/>
      <c r="D35" s="137"/>
      <c r="E35" s="137"/>
      <c r="F35" s="137"/>
      <c r="G35" s="137"/>
      <c r="H35" s="137"/>
      <c r="I35" s="137"/>
      <c r="J35" s="137"/>
      <c r="K35" s="137"/>
      <c r="L35" s="156"/>
      <c r="M35" s="137"/>
      <c r="N35" s="176"/>
      <c r="O35" s="146"/>
    </row>
    <row r="36" spans="2:15" ht="12" customHeight="1">
      <c r="B36" s="150"/>
      <c r="C36" s="158"/>
      <c r="D36" s="137"/>
      <c r="E36" s="137"/>
      <c r="F36" s="137"/>
      <c r="G36" s="137"/>
      <c r="H36" s="137"/>
      <c r="I36" s="137"/>
      <c r="J36" s="137"/>
      <c r="K36" s="137"/>
      <c r="L36" s="156"/>
      <c r="M36" s="137"/>
      <c r="N36" s="176"/>
      <c r="O36" s="146"/>
    </row>
    <row r="37" spans="2:15" ht="12" customHeight="1">
      <c r="B37" s="150"/>
      <c r="C37" s="168" t="s">
        <v>280</v>
      </c>
      <c r="D37" s="137"/>
      <c r="E37" s="137"/>
      <c r="F37" s="137"/>
      <c r="G37" s="137"/>
      <c r="H37" s="137"/>
      <c r="I37" s="137"/>
      <c r="J37" s="137"/>
      <c r="K37" s="137"/>
      <c r="L37" s="156"/>
      <c r="M37" s="137"/>
      <c r="N37" s="176" t="b">
        <f>N38</f>
        <v>1</v>
      </c>
      <c r="O37" s="146"/>
    </row>
    <row r="38" spans="2:15" ht="132" customHeight="1">
      <c r="B38" s="150"/>
      <c r="C38" s="383" t="s">
        <v>283</v>
      </c>
      <c r="D38" s="384"/>
      <c r="E38" s="384"/>
      <c r="F38" s="384"/>
      <c r="G38" s="384"/>
      <c r="H38" s="384"/>
      <c r="I38" s="384"/>
      <c r="J38" s="384"/>
      <c r="K38" s="384"/>
      <c r="L38" s="384"/>
      <c r="M38" s="385"/>
      <c r="N38" s="160" t="b">
        <v>1</v>
      </c>
      <c r="O38" s="146"/>
    </row>
    <row r="39" spans="2:15" ht="12" customHeight="1">
      <c r="B39" s="150"/>
      <c r="C39" s="158"/>
      <c r="D39" s="137"/>
      <c r="E39" s="137"/>
      <c r="F39" s="137"/>
      <c r="G39" s="137"/>
      <c r="H39" s="137"/>
      <c r="I39" s="137"/>
      <c r="J39" s="137"/>
      <c r="K39" s="137"/>
      <c r="L39" s="156"/>
      <c r="M39" s="137"/>
      <c r="N39" s="176"/>
      <c r="O39" s="146"/>
    </row>
    <row r="40" spans="2:15" ht="12" customHeight="1">
      <c r="B40" s="150"/>
      <c r="C40" s="158"/>
      <c r="D40" s="137"/>
      <c r="E40" s="137"/>
      <c r="F40" s="137"/>
      <c r="G40" s="137"/>
      <c r="H40" s="137"/>
      <c r="I40" s="137"/>
      <c r="J40" s="137"/>
      <c r="K40" s="137"/>
      <c r="L40" s="156"/>
      <c r="M40" s="137"/>
      <c r="N40" s="176"/>
      <c r="O40" s="146"/>
    </row>
    <row r="41" spans="2:15" ht="12" customHeight="1">
      <c r="B41" s="150"/>
      <c r="C41" s="168" t="s">
        <v>121</v>
      </c>
      <c r="D41" s="137"/>
      <c r="E41" s="137"/>
      <c r="F41" s="137"/>
      <c r="G41" s="137"/>
      <c r="H41" s="137"/>
      <c r="I41" s="137"/>
      <c r="J41" s="137"/>
      <c r="K41" s="137"/>
      <c r="L41" s="156"/>
      <c r="M41" s="137"/>
      <c r="N41" s="176"/>
      <c r="O41" s="146"/>
    </row>
    <row r="42" spans="2:15" ht="12" customHeight="1">
      <c r="B42" s="150"/>
      <c r="C42" s="169" t="s">
        <v>68</v>
      </c>
      <c r="D42" s="137"/>
      <c r="E42" s="137"/>
      <c r="F42" s="137"/>
      <c r="G42" s="137"/>
      <c r="H42" s="137"/>
      <c r="I42" s="137"/>
      <c r="J42" s="137"/>
      <c r="K42" s="137"/>
      <c r="L42" s="156"/>
      <c r="M42" s="137"/>
      <c r="N42" s="176"/>
      <c r="O42" s="146"/>
    </row>
    <row r="43" spans="2:15" ht="36" customHeight="1">
      <c r="B43" s="150"/>
      <c r="C43" s="383" t="s">
        <v>251</v>
      </c>
      <c r="D43" s="384"/>
      <c r="E43" s="384"/>
      <c r="F43" s="384"/>
      <c r="G43" s="384"/>
      <c r="H43" s="384"/>
      <c r="I43" s="384"/>
      <c r="J43" s="384"/>
      <c r="K43" s="384"/>
      <c r="L43" s="384"/>
      <c r="M43" s="385"/>
      <c r="N43" s="160"/>
      <c r="O43" s="146"/>
    </row>
    <row r="44" spans="2:15" ht="12" customHeight="1">
      <c r="B44" s="150"/>
      <c r="C44" s="158"/>
      <c r="D44" s="137"/>
      <c r="E44" s="137"/>
      <c r="F44" s="137"/>
      <c r="G44" s="137"/>
      <c r="H44" s="137"/>
      <c r="I44" s="137"/>
      <c r="J44" s="137"/>
      <c r="K44" s="137"/>
      <c r="L44" s="156"/>
      <c r="M44" s="137"/>
      <c r="N44" s="176"/>
      <c r="O44" s="146"/>
    </row>
    <row r="45" spans="2:15" ht="12" customHeight="1">
      <c r="B45" s="150"/>
      <c r="C45" s="169" t="s">
        <v>76</v>
      </c>
      <c r="D45" s="137"/>
      <c r="E45" s="137"/>
      <c r="F45" s="137"/>
      <c r="G45" s="137"/>
      <c r="H45" s="137"/>
      <c r="I45" s="137"/>
      <c r="J45" s="137"/>
      <c r="K45" s="137"/>
      <c r="L45" s="156"/>
      <c r="M45" s="137"/>
      <c r="N45" s="176" t="b">
        <f>N46</f>
        <v>1</v>
      </c>
      <c r="O45" s="146"/>
    </row>
    <row r="46" spans="2:15" ht="24" customHeight="1">
      <c r="B46" s="150"/>
      <c r="C46" s="383" t="s">
        <v>252</v>
      </c>
      <c r="D46" s="384"/>
      <c r="E46" s="384"/>
      <c r="F46" s="384"/>
      <c r="G46" s="384"/>
      <c r="H46" s="384"/>
      <c r="I46" s="384"/>
      <c r="J46" s="384"/>
      <c r="K46" s="384"/>
      <c r="L46" s="384"/>
      <c r="M46" s="385"/>
      <c r="N46" s="160" t="b">
        <v>1</v>
      </c>
      <c r="O46" s="146"/>
    </row>
    <row r="47" spans="2:15" ht="12" customHeight="1">
      <c r="B47" s="150"/>
      <c r="C47" s="158"/>
      <c r="D47" s="137"/>
      <c r="E47" s="137"/>
      <c r="F47" s="137"/>
      <c r="G47" s="137"/>
      <c r="H47" s="137"/>
      <c r="I47" s="137"/>
      <c r="J47" s="137"/>
      <c r="K47" s="137"/>
      <c r="L47" s="156"/>
      <c r="M47" s="137"/>
      <c r="N47" s="176"/>
      <c r="O47" s="146"/>
    </row>
    <row r="48" spans="2:15" ht="12" customHeight="1">
      <c r="B48" s="150"/>
      <c r="C48" s="169" t="s">
        <v>133</v>
      </c>
      <c r="D48" s="137"/>
      <c r="E48" s="137"/>
      <c r="F48" s="137"/>
      <c r="G48" s="137"/>
      <c r="H48" s="137"/>
      <c r="I48" s="137"/>
      <c r="J48" s="137"/>
      <c r="K48" s="137"/>
      <c r="L48" s="156"/>
      <c r="M48" s="137"/>
      <c r="N48" s="176" t="b">
        <f>N49</f>
        <v>1</v>
      </c>
      <c r="O48" s="146"/>
    </row>
    <row r="49" spans="2:15" ht="12" customHeight="1">
      <c r="B49" s="150"/>
      <c r="C49" s="383" t="s">
        <v>255</v>
      </c>
      <c r="D49" s="384"/>
      <c r="E49" s="384"/>
      <c r="F49" s="384"/>
      <c r="G49" s="384"/>
      <c r="H49" s="384"/>
      <c r="I49" s="384"/>
      <c r="J49" s="384"/>
      <c r="K49" s="384"/>
      <c r="L49" s="384"/>
      <c r="M49" s="385"/>
      <c r="N49" s="160" t="b">
        <v>1</v>
      </c>
      <c r="O49" s="146"/>
    </row>
    <row r="50" spans="2:15" ht="12" customHeight="1">
      <c r="B50" s="150"/>
      <c r="C50" s="158"/>
      <c r="D50" s="137"/>
      <c r="E50" s="137"/>
      <c r="F50" s="137"/>
      <c r="G50" s="137"/>
      <c r="H50" s="137"/>
      <c r="I50" s="137"/>
      <c r="J50" s="137"/>
      <c r="K50" s="137"/>
      <c r="L50" s="156"/>
      <c r="M50" s="137"/>
      <c r="N50" s="176"/>
      <c r="O50" s="146"/>
    </row>
    <row r="51" spans="2:15" ht="12" customHeight="1">
      <c r="B51" s="150"/>
      <c r="C51" s="169" t="s">
        <v>135</v>
      </c>
      <c r="D51" s="137"/>
      <c r="E51" s="137"/>
      <c r="F51" s="137"/>
      <c r="G51" s="137"/>
      <c r="H51" s="137"/>
      <c r="I51" s="137"/>
      <c r="J51" s="137"/>
      <c r="K51" s="137"/>
      <c r="L51" s="156"/>
      <c r="M51" s="137"/>
      <c r="N51" s="176" t="b">
        <f>N52</f>
        <v>1</v>
      </c>
      <c r="O51" s="146"/>
    </row>
    <row r="52" spans="2:15" ht="24" customHeight="1">
      <c r="B52" s="150"/>
      <c r="C52" s="383" t="s">
        <v>253</v>
      </c>
      <c r="D52" s="384"/>
      <c r="E52" s="384"/>
      <c r="F52" s="384"/>
      <c r="G52" s="384"/>
      <c r="H52" s="384"/>
      <c r="I52" s="384"/>
      <c r="J52" s="384"/>
      <c r="K52" s="384"/>
      <c r="L52" s="384"/>
      <c r="M52" s="385"/>
      <c r="N52" s="160" t="b">
        <v>1</v>
      </c>
      <c r="O52" s="146"/>
    </row>
    <row r="53" spans="2:15" ht="12" customHeight="1">
      <c r="B53" s="150"/>
      <c r="C53" s="158"/>
      <c r="D53" s="137"/>
      <c r="E53" s="137"/>
      <c r="F53" s="137"/>
      <c r="G53" s="137"/>
      <c r="H53" s="137"/>
      <c r="I53" s="137"/>
      <c r="J53" s="137"/>
      <c r="K53" s="137"/>
      <c r="L53" s="156"/>
      <c r="M53" s="137"/>
      <c r="N53" s="176"/>
      <c r="O53" s="146"/>
    </row>
    <row r="54" spans="2:15" ht="12" customHeight="1">
      <c r="B54" s="150"/>
      <c r="C54" s="169" t="s">
        <v>147</v>
      </c>
      <c r="D54" s="137"/>
      <c r="E54" s="137"/>
      <c r="F54" s="137"/>
      <c r="G54" s="137"/>
      <c r="H54" s="137"/>
      <c r="I54" s="137"/>
      <c r="J54" s="137"/>
      <c r="K54" s="137"/>
      <c r="L54" s="156"/>
      <c r="M54" s="137"/>
      <c r="N54" s="176" t="b">
        <f>N55</f>
        <v>1</v>
      </c>
      <c r="O54" s="146"/>
    </row>
    <row r="55" spans="2:15" ht="12" customHeight="1">
      <c r="B55" s="150"/>
      <c r="C55" s="383" t="s">
        <v>256</v>
      </c>
      <c r="D55" s="384"/>
      <c r="E55" s="384"/>
      <c r="F55" s="384"/>
      <c r="G55" s="384"/>
      <c r="H55" s="384"/>
      <c r="I55" s="384"/>
      <c r="J55" s="384"/>
      <c r="K55" s="384"/>
      <c r="L55" s="384"/>
      <c r="M55" s="385"/>
      <c r="N55" s="160" t="b">
        <v>1</v>
      </c>
      <c r="O55" s="146"/>
    </row>
    <row r="56" spans="2:15" ht="12" customHeight="1">
      <c r="B56" s="150"/>
      <c r="C56" s="158"/>
      <c r="D56" s="137"/>
      <c r="E56" s="137"/>
      <c r="F56" s="137"/>
      <c r="G56" s="137"/>
      <c r="H56" s="137"/>
      <c r="I56" s="137"/>
      <c r="J56" s="137"/>
      <c r="K56" s="137"/>
      <c r="L56" s="156"/>
      <c r="M56" s="137"/>
      <c r="N56" s="176"/>
      <c r="O56" s="146"/>
    </row>
    <row r="57" spans="2:15" ht="12" customHeight="1">
      <c r="B57" s="150"/>
      <c r="C57" s="169" t="s">
        <v>166</v>
      </c>
      <c r="D57" s="137"/>
      <c r="E57" s="137"/>
      <c r="F57" s="137"/>
      <c r="G57" s="137"/>
      <c r="H57" s="137"/>
      <c r="I57" s="137"/>
      <c r="J57" s="137"/>
      <c r="K57" s="137"/>
      <c r="L57" s="156"/>
      <c r="M57" s="137"/>
      <c r="N57" s="176" t="b">
        <f>N58</f>
        <v>1</v>
      </c>
      <c r="O57" s="146"/>
    </row>
    <row r="58" spans="2:15" ht="36" customHeight="1">
      <c r="B58" s="150"/>
      <c r="C58" s="383" t="s">
        <v>259</v>
      </c>
      <c r="D58" s="384"/>
      <c r="E58" s="384"/>
      <c r="F58" s="384"/>
      <c r="G58" s="384"/>
      <c r="H58" s="384"/>
      <c r="I58" s="384"/>
      <c r="J58" s="384"/>
      <c r="K58" s="384"/>
      <c r="L58" s="384"/>
      <c r="M58" s="385"/>
      <c r="N58" s="160" t="b">
        <v>1</v>
      </c>
      <c r="O58" s="146"/>
    </row>
    <row r="59" spans="2:15" ht="12" customHeight="1">
      <c r="B59" s="150"/>
      <c r="C59" s="158"/>
      <c r="D59" s="137"/>
      <c r="E59" s="137"/>
      <c r="F59" s="137"/>
      <c r="G59" s="137"/>
      <c r="H59" s="137"/>
      <c r="I59" s="137"/>
      <c r="J59" s="137"/>
      <c r="K59" s="137"/>
      <c r="L59" s="156"/>
      <c r="M59" s="137"/>
      <c r="N59" s="176"/>
      <c r="O59" s="146"/>
    </row>
    <row r="60" spans="2:15" ht="12" customHeight="1">
      <c r="B60" s="150"/>
      <c r="C60" s="169" t="s">
        <v>257</v>
      </c>
      <c r="D60" s="137"/>
      <c r="E60" s="137"/>
      <c r="F60" s="137"/>
      <c r="G60" s="137"/>
      <c r="H60" s="137"/>
      <c r="I60" s="137"/>
      <c r="J60" s="137"/>
      <c r="K60" s="137"/>
      <c r="L60" s="156"/>
      <c r="M60" s="137"/>
      <c r="N60" s="176" t="b">
        <f>N61</f>
        <v>1</v>
      </c>
      <c r="O60" s="146"/>
    </row>
    <row r="61" spans="2:15" ht="24" customHeight="1">
      <c r="B61" s="150"/>
      <c r="C61" s="383" t="s">
        <v>258</v>
      </c>
      <c r="D61" s="384"/>
      <c r="E61" s="384"/>
      <c r="F61" s="384"/>
      <c r="G61" s="384"/>
      <c r="H61" s="384"/>
      <c r="I61" s="384"/>
      <c r="J61" s="384"/>
      <c r="K61" s="384"/>
      <c r="L61" s="384"/>
      <c r="M61" s="385"/>
      <c r="N61" s="160" t="b">
        <v>1</v>
      </c>
      <c r="O61" s="146"/>
    </row>
    <row r="62" spans="2:15" ht="12" customHeight="1">
      <c r="B62" s="150"/>
      <c r="C62" s="158"/>
      <c r="D62" s="137"/>
      <c r="E62" s="137"/>
      <c r="F62" s="137"/>
      <c r="G62" s="137"/>
      <c r="H62" s="137"/>
      <c r="I62" s="137"/>
      <c r="J62" s="137"/>
      <c r="K62" s="137"/>
      <c r="L62" s="156"/>
      <c r="M62" s="137"/>
      <c r="N62" s="176"/>
      <c r="O62" s="146"/>
    </row>
    <row r="63" spans="2:15" ht="12" customHeight="1">
      <c r="B63" s="150"/>
      <c r="C63" s="169" t="s">
        <v>260</v>
      </c>
      <c r="D63" s="137"/>
      <c r="E63" s="137"/>
      <c r="F63" s="137"/>
      <c r="G63" s="137"/>
      <c r="H63" s="137"/>
      <c r="I63" s="137"/>
      <c r="J63" s="137"/>
      <c r="K63" s="137"/>
      <c r="L63" s="156"/>
      <c r="M63" s="137"/>
      <c r="N63" s="176" t="b">
        <f>N64</f>
        <v>1</v>
      </c>
      <c r="O63" s="146"/>
    </row>
    <row r="64" spans="2:15" ht="36" customHeight="1">
      <c r="B64" s="150"/>
      <c r="C64" s="383" t="s">
        <v>261</v>
      </c>
      <c r="D64" s="384"/>
      <c r="E64" s="384"/>
      <c r="F64" s="384"/>
      <c r="G64" s="384"/>
      <c r="H64" s="384"/>
      <c r="I64" s="384"/>
      <c r="J64" s="384"/>
      <c r="K64" s="384"/>
      <c r="L64" s="384"/>
      <c r="M64" s="385"/>
      <c r="N64" s="160" t="b">
        <v>1</v>
      </c>
      <c r="O64" s="146"/>
    </row>
    <row r="65" spans="2:15" ht="12" customHeight="1">
      <c r="B65" s="150"/>
      <c r="C65" s="158"/>
      <c r="D65" s="137"/>
      <c r="E65" s="137"/>
      <c r="F65" s="137"/>
      <c r="G65" s="137"/>
      <c r="H65" s="137"/>
      <c r="I65" s="137"/>
      <c r="J65" s="137"/>
      <c r="K65" s="137"/>
      <c r="L65" s="156"/>
      <c r="M65" s="137"/>
      <c r="N65" s="176"/>
      <c r="O65" s="146"/>
    </row>
    <row r="66" spans="2:15" ht="12" customHeight="1">
      <c r="B66" s="150"/>
      <c r="C66" s="169" t="s">
        <v>262</v>
      </c>
      <c r="D66" s="137"/>
      <c r="E66" s="137"/>
      <c r="F66" s="137"/>
      <c r="G66" s="137"/>
      <c r="H66" s="137"/>
      <c r="I66" s="137"/>
      <c r="J66" s="137"/>
      <c r="K66" s="137"/>
      <c r="L66" s="156"/>
      <c r="M66" s="137"/>
      <c r="N66" s="176" t="b">
        <f>N67</f>
        <v>1</v>
      </c>
      <c r="O66" s="146"/>
    </row>
    <row r="67" spans="2:15" ht="60" customHeight="1">
      <c r="B67" s="150"/>
      <c r="C67" s="383" t="s">
        <v>263</v>
      </c>
      <c r="D67" s="384"/>
      <c r="E67" s="384"/>
      <c r="F67" s="384"/>
      <c r="G67" s="384"/>
      <c r="H67" s="384"/>
      <c r="I67" s="384"/>
      <c r="J67" s="384"/>
      <c r="K67" s="384"/>
      <c r="L67" s="384"/>
      <c r="M67" s="385"/>
      <c r="N67" s="160" t="b">
        <v>1</v>
      </c>
      <c r="O67" s="146"/>
    </row>
    <row r="68" spans="2:15" ht="12" customHeight="1">
      <c r="B68" s="150"/>
      <c r="C68" s="158"/>
      <c r="D68" s="137"/>
      <c r="E68" s="137"/>
      <c r="F68" s="137"/>
      <c r="G68" s="137"/>
      <c r="H68" s="137"/>
      <c r="I68" s="137"/>
      <c r="J68" s="137"/>
      <c r="K68" s="137"/>
      <c r="L68" s="156"/>
      <c r="M68" s="137"/>
      <c r="N68" s="176"/>
      <c r="O68" s="146"/>
    </row>
    <row r="69" spans="2:15" ht="12" customHeight="1">
      <c r="B69" s="150"/>
      <c r="C69" s="169" t="s">
        <v>265</v>
      </c>
      <c r="D69" s="137"/>
      <c r="E69" s="137"/>
      <c r="F69" s="137"/>
      <c r="G69" s="137"/>
      <c r="H69" s="137"/>
      <c r="I69" s="137"/>
      <c r="J69" s="137"/>
      <c r="K69" s="137"/>
      <c r="L69" s="156"/>
      <c r="M69" s="137"/>
      <c r="N69" s="176" t="b">
        <f>N70</f>
        <v>1</v>
      </c>
      <c r="O69" s="146"/>
    </row>
    <row r="70" spans="2:15" ht="72" customHeight="1">
      <c r="B70" s="150"/>
      <c r="C70" s="383" t="s">
        <v>264</v>
      </c>
      <c r="D70" s="384"/>
      <c r="E70" s="384"/>
      <c r="F70" s="384"/>
      <c r="G70" s="384"/>
      <c r="H70" s="384"/>
      <c r="I70" s="384"/>
      <c r="J70" s="384"/>
      <c r="K70" s="384"/>
      <c r="L70" s="384"/>
      <c r="M70" s="385"/>
      <c r="N70" s="160" t="b">
        <v>1</v>
      </c>
      <c r="O70" s="146"/>
    </row>
    <row r="71" spans="2:15" ht="12" customHeight="1">
      <c r="B71" s="150"/>
      <c r="C71" s="158"/>
      <c r="D71" s="137"/>
      <c r="E71" s="137"/>
      <c r="F71" s="137"/>
      <c r="G71" s="137"/>
      <c r="H71" s="137"/>
      <c r="I71" s="137"/>
      <c r="J71" s="137"/>
      <c r="K71" s="137"/>
      <c r="L71" s="156"/>
      <c r="M71" s="137"/>
      <c r="N71" s="176"/>
      <c r="O71" s="146"/>
    </row>
    <row r="72" spans="2:15" ht="12" customHeight="1">
      <c r="B72" s="150"/>
      <c r="C72" s="158"/>
      <c r="D72" s="137"/>
      <c r="E72" s="137"/>
      <c r="F72" s="137"/>
      <c r="G72" s="137"/>
      <c r="H72" s="137"/>
      <c r="I72" s="137"/>
      <c r="J72" s="137"/>
      <c r="K72" s="137"/>
      <c r="L72" s="156"/>
      <c r="M72" s="137"/>
      <c r="N72" s="176"/>
      <c r="O72" s="146"/>
    </row>
    <row r="73" spans="2:15" ht="12" customHeight="1">
      <c r="B73" s="150"/>
      <c r="C73" s="168" t="s">
        <v>122</v>
      </c>
      <c r="D73" s="137"/>
      <c r="E73" s="137"/>
      <c r="F73" s="137"/>
      <c r="G73" s="137"/>
      <c r="H73" s="137"/>
      <c r="I73" s="137"/>
      <c r="J73" s="137"/>
      <c r="K73" s="137"/>
      <c r="L73" s="156"/>
      <c r="M73" s="137"/>
      <c r="N73" s="176"/>
      <c r="O73" s="146"/>
    </row>
    <row r="74" spans="2:15" ht="12" customHeight="1">
      <c r="B74" s="150"/>
      <c r="C74" s="169" t="s">
        <v>69</v>
      </c>
      <c r="D74" s="137"/>
      <c r="E74" s="137"/>
      <c r="F74" s="137"/>
      <c r="G74" s="137"/>
      <c r="H74" s="137"/>
      <c r="I74" s="137"/>
      <c r="J74" s="137"/>
      <c r="K74" s="137"/>
      <c r="L74" s="156"/>
      <c r="M74" s="137"/>
      <c r="N74" s="176" t="b">
        <f>IF(AND(N75=N77,N75=FALSE),FALSE,TRUE)</f>
        <v>1</v>
      </c>
      <c r="O74" s="146"/>
    </row>
    <row r="75" spans="2:15" ht="24" customHeight="1">
      <c r="B75" s="150"/>
      <c r="C75" s="383" t="s">
        <v>281</v>
      </c>
      <c r="D75" s="384"/>
      <c r="E75" s="384"/>
      <c r="F75" s="384"/>
      <c r="G75" s="384"/>
      <c r="H75" s="384"/>
      <c r="I75" s="384"/>
      <c r="J75" s="384"/>
      <c r="K75" s="384"/>
      <c r="L75" s="384"/>
      <c r="M75" s="385"/>
      <c r="N75" s="160" t="b">
        <v>1</v>
      </c>
      <c r="O75" s="146"/>
    </row>
    <row r="76" spans="2:15" ht="6" customHeight="1">
      <c r="B76" s="150"/>
      <c r="C76" s="178"/>
      <c r="D76" s="178"/>
      <c r="E76" s="178"/>
      <c r="F76" s="178"/>
      <c r="G76" s="178"/>
      <c r="H76" s="178"/>
      <c r="I76" s="178"/>
      <c r="J76" s="178"/>
      <c r="K76" s="178"/>
      <c r="L76" s="178"/>
      <c r="M76" s="178"/>
      <c r="N76" s="160"/>
      <c r="O76" s="146"/>
    </row>
    <row r="77" spans="2:15" ht="36" customHeight="1">
      <c r="B77" s="150"/>
      <c r="C77" s="383" t="s">
        <v>282</v>
      </c>
      <c r="D77" s="384"/>
      <c r="E77" s="384"/>
      <c r="F77" s="384"/>
      <c r="G77" s="384"/>
      <c r="H77" s="384"/>
      <c r="I77" s="384"/>
      <c r="J77" s="384"/>
      <c r="K77" s="384"/>
      <c r="L77" s="384"/>
      <c r="M77" s="385"/>
      <c r="N77" s="160" t="b">
        <v>1</v>
      </c>
      <c r="O77" s="146"/>
    </row>
    <row r="78" spans="2:15" ht="12" customHeight="1">
      <c r="B78" s="150"/>
      <c r="C78" s="178"/>
      <c r="D78" s="178"/>
      <c r="E78" s="178"/>
      <c r="F78" s="178"/>
      <c r="G78" s="178"/>
      <c r="H78" s="178"/>
      <c r="I78" s="178"/>
      <c r="J78" s="178"/>
      <c r="K78" s="178"/>
      <c r="L78" s="178"/>
      <c r="M78" s="178"/>
      <c r="N78" s="160"/>
      <c r="O78" s="146"/>
    </row>
    <row r="79" spans="2:15" ht="12" customHeight="1">
      <c r="B79" s="150"/>
      <c r="C79" s="169" t="s">
        <v>70</v>
      </c>
      <c r="D79" s="137"/>
      <c r="E79" s="137"/>
      <c r="F79" s="137"/>
      <c r="G79" s="137"/>
      <c r="H79" s="137"/>
      <c r="I79" s="137"/>
      <c r="J79" s="137"/>
      <c r="K79" s="137"/>
      <c r="L79" s="156"/>
      <c r="M79" s="137"/>
      <c r="N79" s="176" t="b">
        <f>IF(AND(N80=N82,N82=N84,N84=N86,N86=N88,N88=N90,N90=N92,N80=FALSE),FALSE,TRUE)</f>
        <v>1</v>
      </c>
      <c r="O79" s="146"/>
    </row>
    <row r="80" spans="2:15" ht="12" customHeight="1">
      <c r="B80" s="150"/>
      <c r="C80" s="383" t="s">
        <v>266</v>
      </c>
      <c r="D80" s="384"/>
      <c r="E80" s="384"/>
      <c r="F80" s="384"/>
      <c r="G80" s="384"/>
      <c r="H80" s="384"/>
      <c r="I80" s="384"/>
      <c r="J80" s="384"/>
      <c r="K80" s="384"/>
      <c r="L80" s="384"/>
      <c r="M80" s="385"/>
      <c r="N80" s="160" t="b">
        <v>1</v>
      </c>
      <c r="O80" s="146"/>
    </row>
    <row r="81" spans="2:15" ht="6" customHeight="1">
      <c r="B81" s="150"/>
      <c r="C81" s="169"/>
      <c r="D81" s="137"/>
      <c r="E81" s="137"/>
      <c r="F81" s="137"/>
      <c r="G81" s="137"/>
      <c r="H81" s="137"/>
      <c r="I81" s="137"/>
      <c r="J81" s="137"/>
      <c r="K81" s="137"/>
      <c r="L81" s="156"/>
      <c r="M81" s="137"/>
      <c r="N81" s="176"/>
      <c r="O81" s="146"/>
    </row>
    <row r="82" spans="2:15" ht="24" customHeight="1">
      <c r="B82" s="150"/>
      <c r="C82" s="383" t="s">
        <v>267</v>
      </c>
      <c r="D82" s="384"/>
      <c r="E82" s="384"/>
      <c r="F82" s="384"/>
      <c r="G82" s="384"/>
      <c r="H82" s="384"/>
      <c r="I82" s="384"/>
      <c r="J82" s="384"/>
      <c r="K82" s="384"/>
      <c r="L82" s="384"/>
      <c r="M82" s="385"/>
      <c r="N82" s="160" t="b">
        <v>1</v>
      </c>
      <c r="O82" s="146"/>
    </row>
    <row r="83" spans="2:15" ht="6" customHeight="1">
      <c r="B83" s="150"/>
      <c r="C83" s="169"/>
      <c r="D83" s="137"/>
      <c r="E83" s="137"/>
      <c r="F83" s="137"/>
      <c r="G83" s="137"/>
      <c r="H83" s="137"/>
      <c r="I83" s="137"/>
      <c r="J83" s="137"/>
      <c r="K83" s="137"/>
      <c r="L83" s="156"/>
      <c r="M83" s="137"/>
      <c r="N83" s="176"/>
      <c r="O83" s="146"/>
    </row>
    <row r="84" spans="2:15" ht="12" customHeight="1">
      <c r="B84" s="150"/>
      <c r="C84" s="383" t="s">
        <v>71</v>
      </c>
      <c r="D84" s="384"/>
      <c r="E84" s="384"/>
      <c r="F84" s="384"/>
      <c r="G84" s="384"/>
      <c r="H84" s="172" t="s">
        <v>269</v>
      </c>
      <c r="I84" s="170"/>
      <c r="J84" s="170"/>
      <c r="K84" s="170"/>
      <c r="L84" s="170"/>
      <c r="M84" s="170"/>
      <c r="N84" s="160" t="b">
        <v>1</v>
      </c>
      <c r="O84" s="146"/>
    </row>
    <row r="85" spans="2:15" ht="6" customHeight="1">
      <c r="B85" s="150"/>
      <c r="C85" s="171"/>
      <c r="D85" s="137"/>
      <c r="E85" s="137"/>
      <c r="F85" s="137"/>
      <c r="G85" s="137"/>
      <c r="H85" s="173"/>
      <c r="I85" s="137"/>
      <c r="J85" s="137"/>
      <c r="K85" s="137"/>
      <c r="L85" s="156"/>
      <c r="M85" s="137"/>
      <c r="N85" s="176"/>
      <c r="O85" s="146"/>
    </row>
    <row r="86" spans="2:15" ht="12" customHeight="1">
      <c r="B86" s="150"/>
      <c r="C86" s="383" t="s">
        <v>179</v>
      </c>
      <c r="D86" s="384"/>
      <c r="E86" s="384"/>
      <c r="F86" s="384"/>
      <c r="G86" s="384"/>
      <c r="H86" s="172" t="s">
        <v>270</v>
      </c>
      <c r="I86" s="170"/>
      <c r="J86" s="170"/>
      <c r="K86" s="170"/>
      <c r="L86" s="170"/>
      <c r="M86" s="170"/>
      <c r="N86" s="160" t="b">
        <v>1</v>
      </c>
      <c r="O86" s="146"/>
    </row>
    <row r="87" spans="2:15" ht="6" customHeight="1">
      <c r="B87" s="150"/>
      <c r="C87" s="171"/>
      <c r="D87" s="137"/>
      <c r="E87" s="137"/>
      <c r="F87" s="137"/>
      <c r="G87" s="137"/>
      <c r="H87" s="173"/>
      <c r="I87" s="137"/>
      <c r="J87" s="137"/>
      <c r="K87" s="137"/>
      <c r="L87" s="156"/>
      <c r="M87" s="137"/>
      <c r="N87" s="176"/>
      <c r="O87" s="146"/>
    </row>
    <row r="88" spans="2:15" ht="12" customHeight="1">
      <c r="B88" s="150"/>
      <c r="C88" s="383" t="s">
        <v>268</v>
      </c>
      <c r="D88" s="384"/>
      <c r="E88" s="384"/>
      <c r="F88" s="384"/>
      <c r="G88" s="384"/>
      <c r="H88" s="172" t="s">
        <v>270</v>
      </c>
      <c r="I88" s="170"/>
      <c r="J88" s="170"/>
      <c r="K88" s="170"/>
      <c r="L88" s="170"/>
      <c r="M88" s="170"/>
      <c r="N88" s="160" t="b">
        <v>1</v>
      </c>
      <c r="O88" s="146"/>
    </row>
    <row r="89" spans="2:15" ht="12" customHeight="1">
      <c r="B89" s="150"/>
      <c r="C89" s="169"/>
      <c r="D89" s="137"/>
      <c r="E89" s="137"/>
      <c r="F89" s="137"/>
      <c r="G89" s="137"/>
      <c r="H89" s="137"/>
      <c r="I89" s="137"/>
      <c r="J89" s="137"/>
      <c r="K89" s="137"/>
      <c r="L89" s="156"/>
      <c r="M89" s="137"/>
      <c r="N89" s="176" t="b">
        <f>IF(AND(rprak32=rprak33,rprak33=rprak34,rprak34=FALSE),FALSE,TRUE)</f>
        <v>1</v>
      </c>
      <c r="O89" s="146"/>
    </row>
    <row r="90" spans="2:15" ht="24" customHeight="1">
      <c r="B90" s="150"/>
      <c r="C90" s="383" t="s">
        <v>271</v>
      </c>
      <c r="D90" s="384"/>
      <c r="E90" s="384"/>
      <c r="F90" s="384"/>
      <c r="G90" s="384"/>
      <c r="H90" s="384"/>
      <c r="I90" s="384"/>
      <c r="J90" s="384"/>
      <c r="K90" s="384"/>
      <c r="L90" s="384"/>
      <c r="M90" s="385"/>
      <c r="N90" s="160" t="b">
        <v>1</v>
      </c>
      <c r="O90" s="146"/>
    </row>
    <row r="91" spans="2:15" ht="12" customHeight="1">
      <c r="B91" s="150"/>
      <c r="C91" s="169"/>
      <c r="D91" s="137"/>
      <c r="E91" s="137"/>
      <c r="F91" s="137"/>
      <c r="G91" s="137"/>
      <c r="H91" s="137"/>
      <c r="I91" s="137"/>
      <c r="J91" s="137"/>
      <c r="K91" s="137"/>
      <c r="L91" s="156"/>
      <c r="M91" s="137"/>
      <c r="N91" s="176"/>
      <c r="O91" s="146"/>
    </row>
    <row r="92" spans="2:15" ht="36" customHeight="1">
      <c r="B92" s="150"/>
      <c r="C92" s="383" t="s">
        <v>272</v>
      </c>
      <c r="D92" s="384"/>
      <c r="E92" s="384"/>
      <c r="F92" s="384"/>
      <c r="G92" s="384"/>
      <c r="H92" s="384"/>
      <c r="I92" s="384"/>
      <c r="J92" s="384"/>
      <c r="K92" s="384"/>
      <c r="L92" s="384"/>
      <c r="M92" s="385"/>
      <c r="N92" s="160" t="b">
        <v>1</v>
      </c>
      <c r="O92" s="146"/>
    </row>
    <row r="93" spans="2:15" ht="12" customHeight="1">
      <c r="B93" s="150"/>
      <c r="C93" s="158"/>
      <c r="D93" s="137"/>
      <c r="E93" s="137"/>
      <c r="F93" s="137"/>
      <c r="G93" s="137"/>
      <c r="H93" s="137"/>
      <c r="I93" s="137"/>
      <c r="J93" s="137"/>
      <c r="K93" s="137"/>
      <c r="L93" s="156"/>
      <c r="M93" s="137"/>
      <c r="N93" s="176"/>
      <c r="O93" s="146"/>
    </row>
    <row r="94" spans="2:15" ht="12" customHeight="1">
      <c r="B94" s="150"/>
      <c r="C94" s="169" t="s">
        <v>72</v>
      </c>
      <c r="D94" s="137"/>
      <c r="E94" s="137"/>
      <c r="F94" s="137"/>
      <c r="G94" s="137"/>
      <c r="H94" s="137"/>
      <c r="I94" s="137"/>
      <c r="J94" s="137"/>
      <c r="K94" s="137"/>
      <c r="L94" s="156"/>
      <c r="M94" s="137"/>
      <c r="N94" s="176" t="b">
        <f>N95</f>
        <v>1</v>
      </c>
      <c r="O94" s="146"/>
    </row>
    <row r="95" spans="2:15" ht="24" customHeight="1">
      <c r="B95" s="150"/>
      <c r="C95" s="383" t="s">
        <v>273</v>
      </c>
      <c r="D95" s="384"/>
      <c r="E95" s="384"/>
      <c r="F95" s="384"/>
      <c r="G95" s="384"/>
      <c r="H95" s="384"/>
      <c r="I95" s="384"/>
      <c r="J95" s="384"/>
      <c r="K95" s="384"/>
      <c r="L95" s="384"/>
      <c r="M95" s="385"/>
      <c r="N95" s="160" t="b">
        <v>1</v>
      </c>
      <c r="O95" s="146"/>
    </row>
    <row r="96" spans="2:15" ht="12" customHeight="1">
      <c r="B96" s="150"/>
      <c r="C96" s="158"/>
      <c r="D96" s="137"/>
      <c r="E96" s="137"/>
      <c r="F96" s="137"/>
      <c r="G96" s="137"/>
      <c r="H96" s="137"/>
      <c r="I96" s="137"/>
      <c r="J96" s="137"/>
      <c r="K96" s="137"/>
      <c r="L96" s="156"/>
      <c r="M96" s="137"/>
      <c r="N96" s="176"/>
      <c r="O96" s="146"/>
    </row>
    <row r="97" spans="2:15" ht="12" customHeight="1">
      <c r="B97" s="150"/>
      <c r="C97" s="169" t="s">
        <v>274</v>
      </c>
      <c r="D97" s="137"/>
      <c r="E97" s="137"/>
      <c r="F97" s="137"/>
      <c r="G97" s="137"/>
      <c r="H97" s="137"/>
      <c r="I97" s="137"/>
      <c r="J97" s="137"/>
      <c r="K97" s="137"/>
      <c r="L97" s="156"/>
      <c r="M97" s="137"/>
      <c r="N97" s="176" t="b">
        <f>N98</f>
        <v>1</v>
      </c>
      <c r="O97" s="146"/>
    </row>
    <row r="98" spans="2:15" ht="12" customHeight="1">
      <c r="B98" s="150"/>
      <c r="C98" s="383" t="s">
        <v>275</v>
      </c>
      <c r="D98" s="384"/>
      <c r="E98" s="384"/>
      <c r="F98" s="384"/>
      <c r="G98" s="384"/>
      <c r="H98" s="384"/>
      <c r="I98" s="384"/>
      <c r="J98" s="384"/>
      <c r="K98" s="384"/>
      <c r="L98" s="384"/>
      <c r="M98" s="385"/>
      <c r="N98" s="160" t="b">
        <v>1</v>
      </c>
      <c r="O98" s="146"/>
    </row>
    <row r="99" spans="2:15" ht="12" customHeight="1">
      <c r="B99" s="150"/>
      <c r="C99" s="158"/>
      <c r="D99" s="137"/>
      <c r="E99" s="137"/>
      <c r="F99" s="137"/>
      <c r="G99" s="137"/>
      <c r="H99" s="137"/>
      <c r="I99" s="137"/>
      <c r="J99" s="137"/>
      <c r="K99" s="137"/>
      <c r="L99" s="156"/>
      <c r="M99" s="137"/>
      <c r="N99" s="176"/>
      <c r="O99" s="146"/>
    </row>
    <row r="100" spans="2:15" ht="12" customHeight="1">
      <c r="B100" s="150"/>
      <c r="C100" s="169" t="s">
        <v>276</v>
      </c>
      <c r="D100" s="137"/>
      <c r="E100" s="137"/>
      <c r="F100" s="137"/>
      <c r="G100" s="137"/>
      <c r="H100" s="137"/>
      <c r="I100" s="137"/>
      <c r="J100" s="137"/>
      <c r="K100" s="137"/>
      <c r="L100" s="156"/>
      <c r="M100" s="137"/>
      <c r="N100" s="176" t="b">
        <f>N101</f>
        <v>1</v>
      </c>
      <c r="O100" s="146"/>
    </row>
    <row r="101" spans="2:15" ht="24" customHeight="1">
      <c r="B101" s="150"/>
      <c r="C101" s="383" t="s">
        <v>277</v>
      </c>
      <c r="D101" s="384"/>
      <c r="E101" s="384"/>
      <c r="F101" s="384"/>
      <c r="G101" s="384"/>
      <c r="H101" s="384"/>
      <c r="I101" s="384"/>
      <c r="J101" s="384"/>
      <c r="K101" s="384"/>
      <c r="L101" s="384"/>
      <c r="M101" s="385"/>
      <c r="N101" s="160" t="b">
        <v>1</v>
      </c>
      <c r="O101" s="146"/>
    </row>
    <row r="102" spans="2:15" ht="12" customHeight="1">
      <c r="B102" s="150"/>
      <c r="C102" s="158"/>
      <c r="D102" s="137"/>
      <c r="E102" s="137"/>
      <c r="F102" s="137"/>
      <c r="G102" s="137"/>
      <c r="H102" s="137"/>
      <c r="I102" s="137"/>
      <c r="J102" s="137"/>
      <c r="K102" s="137"/>
      <c r="L102" s="156"/>
      <c r="M102" s="137"/>
      <c r="N102" s="176"/>
      <c r="O102" s="146"/>
    </row>
    <row r="103" spans="2:15" ht="12" customHeight="1">
      <c r="B103" s="150"/>
      <c r="C103" s="169" t="s">
        <v>73</v>
      </c>
      <c r="D103" s="137"/>
      <c r="E103" s="137"/>
      <c r="F103" s="137"/>
      <c r="G103" s="137"/>
      <c r="H103" s="137"/>
      <c r="I103" s="137"/>
      <c r="J103" s="137"/>
      <c r="K103" s="137"/>
      <c r="L103" s="156"/>
      <c r="M103" s="137"/>
      <c r="N103" s="176" t="b">
        <f>N104</f>
        <v>1</v>
      </c>
      <c r="O103" s="146"/>
    </row>
    <row r="104" spans="2:15" ht="24" customHeight="1">
      <c r="B104" s="150"/>
      <c r="C104" s="383" t="s">
        <v>278</v>
      </c>
      <c r="D104" s="384"/>
      <c r="E104" s="384"/>
      <c r="F104" s="384"/>
      <c r="G104" s="384"/>
      <c r="H104" s="384"/>
      <c r="I104" s="384"/>
      <c r="J104" s="384"/>
      <c r="K104" s="384"/>
      <c r="L104" s="384"/>
      <c r="M104" s="385"/>
      <c r="N104" s="160" t="b">
        <v>1</v>
      </c>
      <c r="O104" s="146"/>
    </row>
    <row r="105" spans="2:15" ht="12" customHeight="1">
      <c r="B105" s="150"/>
      <c r="C105" s="158"/>
      <c r="D105" s="137"/>
      <c r="E105" s="137"/>
      <c r="F105" s="137"/>
      <c r="G105" s="137"/>
      <c r="H105" s="137"/>
      <c r="I105" s="137"/>
      <c r="J105" s="137"/>
      <c r="K105" s="137"/>
      <c r="L105" s="156"/>
      <c r="M105" s="137"/>
      <c r="N105" s="176"/>
      <c r="O105" s="146"/>
    </row>
    <row r="106" spans="2:15" ht="12" customHeight="1">
      <c r="B106" s="150"/>
      <c r="C106" s="169" t="s">
        <v>81</v>
      </c>
      <c r="D106" s="137"/>
      <c r="E106" s="137"/>
      <c r="F106" s="137"/>
      <c r="G106" s="137"/>
      <c r="H106" s="137"/>
      <c r="I106" s="137"/>
      <c r="J106" s="137"/>
      <c r="K106" s="137"/>
      <c r="L106" s="156"/>
      <c r="M106" s="137"/>
      <c r="N106" s="176" t="b">
        <f>N107</f>
        <v>1</v>
      </c>
      <c r="O106" s="146"/>
    </row>
    <row r="107" spans="2:15" ht="12" customHeight="1">
      <c r="B107" s="150"/>
      <c r="C107" s="383" t="s">
        <v>279</v>
      </c>
      <c r="D107" s="384"/>
      <c r="E107" s="384"/>
      <c r="F107" s="384"/>
      <c r="G107" s="384"/>
      <c r="H107" s="384"/>
      <c r="I107" s="384"/>
      <c r="J107" s="384"/>
      <c r="K107" s="384"/>
      <c r="L107" s="384"/>
      <c r="M107" s="385"/>
      <c r="N107" s="160" t="b">
        <v>1</v>
      </c>
      <c r="O107" s="146"/>
    </row>
    <row r="108" spans="2:15" ht="12" customHeight="1">
      <c r="B108" s="150"/>
      <c r="C108" s="158"/>
      <c r="D108" s="137"/>
      <c r="E108" s="137"/>
      <c r="F108" s="137"/>
      <c r="G108" s="137"/>
      <c r="H108" s="137"/>
      <c r="I108" s="137"/>
      <c r="J108" s="137"/>
      <c r="K108" s="137"/>
      <c r="L108" s="156"/>
      <c r="M108" s="137"/>
      <c r="N108" s="176"/>
      <c r="O108" s="146"/>
    </row>
    <row r="109" spans="2:15" ht="12" customHeight="1">
      <c r="B109" s="217"/>
      <c r="C109" s="218"/>
      <c r="D109" s="141"/>
      <c r="E109" s="141"/>
      <c r="F109" s="141"/>
      <c r="G109" s="141"/>
      <c r="H109" s="141"/>
      <c r="I109" s="141"/>
      <c r="J109" s="141"/>
      <c r="K109" s="141"/>
      <c r="L109" s="219"/>
      <c r="M109" s="141"/>
      <c r="N109" s="220"/>
      <c r="O109" s="145"/>
    </row>
    <row r="110" spans="2:15" ht="12" customHeight="1">
      <c r="B110" s="150"/>
      <c r="C110" s="157" t="s">
        <v>318</v>
      </c>
      <c r="D110" s="153"/>
      <c r="E110" s="76"/>
      <c r="F110" s="153"/>
      <c r="G110" s="153"/>
      <c r="H110" s="137"/>
      <c r="I110" s="137"/>
      <c r="J110" s="137"/>
      <c r="K110" s="137"/>
      <c r="L110" s="137"/>
      <c r="M110" s="137"/>
      <c r="N110" s="329"/>
      <c r="O110" s="146"/>
    </row>
    <row r="111" spans="2:15" ht="12" customHeight="1">
      <c r="B111" s="150"/>
      <c r="C111" s="157"/>
      <c r="D111" s="153"/>
      <c r="E111" s="76"/>
      <c r="F111" s="153"/>
      <c r="G111" s="153"/>
      <c r="H111" s="137"/>
      <c r="I111" s="137"/>
      <c r="J111" s="137"/>
      <c r="K111" s="137"/>
      <c r="L111" s="137"/>
      <c r="M111" s="137"/>
      <c r="N111" s="329"/>
      <c r="O111" s="146"/>
    </row>
    <row r="112" spans="2:15" ht="12" customHeight="1">
      <c r="B112" s="150"/>
      <c r="C112" s="222" t="s">
        <v>326</v>
      </c>
      <c r="D112" s="222"/>
      <c r="E112" s="222"/>
      <c r="F112" s="222"/>
      <c r="G112" s="222"/>
      <c r="H112" s="222"/>
      <c r="I112" s="222"/>
      <c r="J112" s="222"/>
      <c r="K112" s="222"/>
      <c r="L112" s="222"/>
      <c r="M112" s="222"/>
      <c r="N112" s="223" t="b">
        <f>IF(AND(N113=N115,N113=FALSE),FALSE,TRUE)</f>
        <v>1</v>
      </c>
      <c r="O112" s="224"/>
    </row>
    <row r="113" spans="2:15" ht="24" customHeight="1">
      <c r="B113" s="150"/>
      <c r="C113" s="383" t="s">
        <v>328</v>
      </c>
      <c r="D113" s="384"/>
      <c r="E113" s="384"/>
      <c r="F113" s="384"/>
      <c r="G113" s="384"/>
      <c r="H113" s="384"/>
      <c r="I113" s="384"/>
      <c r="J113" s="384"/>
      <c r="K113" s="384"/>
      <c r="L113" s="384"/>
      <c r="M113" s="385"/>
      <c r="N113" s="160" t="b">
        <v>1</v>
      </c>
      <c r="O113" s="224"/>
    </row>
    <row r="114" spans="2:15" ht="6" customHeight="1">
      <c r="B114" s="150"/>
      <c r="C114" s="222"/>
      <c r="D114" s="222"/>
      <c r="E114" s="222"/>
      <c r="F114" s="222"/>
      <c r="G114" s="222"/>
      <c r="H114" s="222"/>
      <c r="I114" s="222"/>
      <c r="J114" s="222"/>
      <c r="K114" s="222"/>
      <c r="L114" s="222"/>
      <c r="M114" s="222"/>
      <c r="N114" s="223" t="b">
        <f>N115</f>
        <v>1</v>
      </c>
      <c r="O114" s="224"/>
    </row>
    <row r="115" spans="2:15" ht="36" customHeight="1">
      <c r="B115" s="150"/>
      <c r="C115" s="383" t="s">
        <v>459</v>
      </c>
      <c r="D115" s="384"/>
      <c r="E115" s="384"/>
      <c r="F115" s="384"/>
      <c r="G115" s="384"/>
      <c r="H115" s="384"/>
      <c r="I115" s="384"/>
      <c r="J115" s="384"/>
      <c r="K115" s="384"/>
      <c r="L115" s="384"/>
      <c r="M115" s="385"/>
      <c r="N115" s="160" t="b">
        <v>1</v>
      </c>
      <c r="O115" s="224"/>
    </row>
    <row r="116" spans="2:15" ht="12" customHeight="1">
      <c r="B116" s="150"/>
      <c r="C116" s="158"/>
      <c r="D116" s="137"/>
      <c r="E116" s="137"/>
      <c r="F116" s="137"/>
      <c r="G116" s="137"/>
      <c r="H116" s="137"/>
      <c r="I116" s="137"/>
      <c r="J116" s="137"/>
      <c r="K116" s="137"/>
      <c r="L116" s="156"/>
      <c r="M116" s="137"/>
      <c r="N116" s="176"/>
      <c r="O116" s="224"/>
    </row>
    <row r="117" spans="2:15" ht="12" customHeight="1">
      <c r="B117" s="150"/>
      <c r="C117" s="222" t="s">
        <v>327</v>
      </c>
      <c r="D117" s="222"/>
      <c r="E117" s="222"/>
      <c r="F117" s="222"/>
      <c r="G117" s="222"/>
      <c r="H117" s="222"/>
      <c r="I117" s="222"/>
      <c r="J117" s="222"/>
      <c r="K117" s="222"/>
      <c r="L117" s="222"/>
      <c r="M117" s="222"/>
      <c r="N117" s="223" t="b">
        <f>IF(AND(N118=N120,N118=FALSE),FALSE,TRUE)</f>
        <v>1</v>
      </c>
      <c r="O117" s="224"/>
    </row>
    <row r="118" spans="2:15" ht="24" customHeight="1">
      <c r="B118" s="150"/>
      <c r="C118" s="383" t="s">
        <v>329</v>
      </c>
      <c r="D118" s="384"/>
      <c r="E118" s="384"/>
      <c r="F118" s="384"/>
      <c r="G118" s="384"/>
      <c r="H118" s="384"/>
      <c r="I118" s="384"/>
      <c r="J118" s="384"/>
      <c r="K118" s="384"/>
      <c r="L118" s="384"/>
      <c r="M118" s="385"/>
      <c r="N118" s="160" t="b">
        <v>1</v>
      </c>
      <c r="O118" s="224"/>
    </row>
    <row r="119" spans="2:15" ht="6" customHeight="1">
      <c r="B119" s="150"/>
      <c r="C119" s="221"/>
      <c r="D119" s="221"/>
      <c r="E119" s="221"/>
      <c r="F119" s="221"/>
      <c r="G119" s="221"/>
      <c r="H119" s="221"/>
      <c r="I119" s="221"/>
      <c r="J119" s="221"/>
      <c r="K119" s="221"/>
      <c r="L119" s="221"/>
      <c r="M119" s="221"/>
      <c r="N119" s="160"/>
      <c r="O119" s="224"/>
    </row>
    <row r="120" spans="2:15" ht="24" customHeight="1">
      <c r="B120" s="150"/>
      <c r="C120" s="383" t="s">
        <v>330</v>
      </c>
      <c r="D120" s="384"/>
      <c r="E120" s="384"/>
      <c r="F120" s="384"/>
      <c r="G120" s="384"/>
      <c r="H120" s="384"/>
      <c r="I120" s="384"/>
      <c r="J120" s="384"/>
      <c r="K120" s="384"/>
      <c r="L120" s="384"/>
      <c r="M120" s="385"/>
      <c r="N120" s="160" t="b">
        <v>1</v>
      </c>
      <c r="O120" s="224"/>
    </row>
    <row r="121" spans="2:15" ht="12" customHeight="1">
      <c r="B121" s="151"/>
      <c r="C121" s="174"/>
      <c r="D121" s="144"/>
      <c r="E121" s="144"/>
      <c r="F121" s="144"/>
      <c r="G121" s="144"/>
      <c r="H121" s="144"/>
      <c r="I121" s="144"/>
      <c r="J121" s="144"/>
      <c r="K121" s="144"/>
      <c r="L121" s="175"/>
      <c r="M121" s="144"/>
      <c r="N121" s="177"/>
      <c r="O121" s="152"/>
    </row>
    <row r="122" ht="7.5" customHeight="1"/>
  </sheetData>
  <mergeCells count="47">
    <mergeCell ref="C120:M120"/>
    <mergeCell ref="C113:M113"/>
    <mergeCell ref="C118:M118"/>
    <mergeCell ref="C104:M104"/>
    <mergeCell ref="C107:M107"/>
    <mergeCell ref="C115:M115"/>
    <mergeCell ref="C92:M92"/>
    <mergeCell ref="C95:M95"/>
    <mergeCell ref="C98:M98"/>
    <mergeCell ref="C101:M101"/>
    <mergeCell ref="C90:M90"/>
    <mergeCell ref="C88:G88"/>
    <mergeCell ref="C86:G86"/>
    <mergeCell ref="C84:G84"/>
    <mergeCell ref="C64:M64"/>
    <mergeCell ref="C67:M67"/>
    <mergeCell ref="C70:M70"/>
    <mergeCell ref="C80:M80"/>
    <mergeCell ref="C75:M75"/>
    <mergeCell ref="C77:M77"/>
    <mergeCell ref="C61:M61"/>
    <mergeCell ref="C43:M43"/>
    <mergeCell ref="C46:M46"/>
    <mergeCell ref="C49:M49"/>
    <mergeCell ref="C52:M52"/>
    <mergeCell ref="C55:M55"/>
    <mergeCell ref="C58:M58"/>
    <mergeCell ref="C25:N25"/>
    <mergeCell ref="C26:M26"/>
    <mergeCell ref="C38:M38"/>
    <mergeCell ref="C31:M31"/>
    <mergeCell ref="C34:M34"/>
    <mergeCell ref="C82:M82"/>
    <mergeCell ref="M2:O4"/>
    <mergeCell ref="G2:J4"/>
    <mergeCell ref="C17:N17"/>
    <mergeCell ref="C14:E14"/>
    <mergeCell ref="F14:N15"/>
    <mergeCell ref="C8:N8"/>
    <mergeCell ref="C10:N10"/>
    <mergeCell ref="C18:M18"/>
    <mergeCell ref="C23:N23"/>
    <mergeCell ref="B2:B4"/>
    <mergeCell ref="E2:F4"/>
    <mergeCell ref="C7:N7"/>
    <mergeCell ref="C13:N13"/>
    <mergeCell ref="C11:M11"/>
  </mergeCells>
  <printOptions/>
  <pageMargins left="0.984251968503937" right="0.3937007874015748" top="0.3937007874015748" bottom="0.3937007874015748" header="0" footer="0"/>
  <pageSetup fitToHeight="1" fitToWidth="1" horizontalDpi="600" verticalDpi="600" orientation="portrait" paperSize="9" scale="40" r:id="rId3"/>
  <drawing r:id="rId2"/>
  <legacyDrawing r:id="rId1"/>
</worksheet>
</file>

<file path=xl/worksheets/sheet5.xml><?xml version="1.0" encoding="utf-8"?>
<worksheet xmlns="http://schemas.openxmlformats.org/spreadsheetml/2006/main" xmlns:r="http://schemas.openxmlformats.org/officeDocument/2006/relationships">
  <sheetPr codeName="Ark11">
    <pageSetUpPr fitToPage="1"/>
  </sheetPr>
  <dimension ref="A1:M219"/>
  <sheetViews>
    <sheetView showGridLines="0" showRowColHeaders="0" workbookViewId="0" topLeftCell="A1">
      <pane ySplit="4" topLeftCell="BM5" activePane="bottomLeft" state="frozen"/>
      <selection pane="topLeft" activeCell="A1" sqref="A1"/>
      <selection pane="bottomLeft" activeCell="A5" sqref="A5"/>
    </sheetView>
  </sheetViews>
  <sheetFormatPr defaultColWidth="9.140625" defaultRowHeight="12.75" customHeight="1"/>
  <cols>
    <col min="1" max="1" width="1.7109375" style="1" customWidth="1"/>
    <col min="2" max="2" width="3.7109375" style="1" customWidth="1"/>
    <col min="3" max="9" width="10.7109375" style="1" customWidth="1"/>
    <col min="10" max="12" width="1.7109375" style="1" customWidth="1"/>
    <col min="13" max="13" width="10.7109375" style="1" customWidth="1"/>
    <col min="14" max="14" width="1.7109375" style="1" customWidth="1"/>
    <col min="15" max="15" width="10.7109375" style="1" customWidth="1"/>
    <col min="16" max="16" width="1.7109375" style="1" customWidth="1"/>
    <col min="17" max="17" width="10.7109375" style="1" customWidth="1"/>
    <col min="18" max="16384" width="9.140625" style="1" customWidth="1"/>
  </cols>
  <sheetData>
    <row r="1" spans="1:10" ht="7.5" customHeight="1">
      <c r="A1" s="2"/>
      <c r="B1" s="3"/>
      <c r="C1" s="3"/>
      <c r="D1" s="3"/>
      <c r="E1" s="2"/>
      <c r="F1" s="2"/>
      <c r="G1" s="2"/>
      <c r="H1" s="2"/>
      <c r="I1" s="2"/>
      <c r="J1" s="2"/>
    </row>
    <row r="2" spans="1:10" ht="31.5" customHeight="1">
      <c r="A2" s="2"/>
      <c r="B2" s="66"/>
      <c r="C2" s="235"/>
      <c r="D2" s="353" t="s">
        <v>334</v>
      </c>
      <c r="E2" s="353"/>
      <c r="F2" s="353"/>
      <c r="G2" s="353"/>
      <c r="H2" s="353"/>
      <c r="I2" s="351" t="s">
        <v>118</v>
      </c>
      <c r="J2" s="352"/>
    </row>
    <row r="3" spans="1:12" ht="12.75" customHeight="1">
      <c r="A3" s="2"/>
      <c r="B3" s="334"/>
      <c r="C3" s="331"/>
      <c r="D3" s="331"/>
      <c r="E3" s="331"/>
      <c r="F3" s="331"/>
      <c r="G3" s="331"/>
      <c r="H3" s="331"/>
      <c r="I3" s="331"/>
      <c r="J3" s="332"/>
      <c r="L3" s="238" t="str">
        <f>IF(L5=2,"PSL",IF(L5=3,"VSO",IF(L5=4,"KAO",IF(L5=5,"ApS","V"))))</f>
        <v>ApS</v>
      </c>
    </row>
    <row r="4" spans="1:12" ht="12.75" customHeight="1">
      <c r="A4" s="2"/>
      <c r="B4" s="63"/>
      <c r="C4" s="64"/>
      <c r="D4" s="64"/>
      <c r="E4" s="64"/>
      <c r="F4" s="64"/>
      <c r="G4" s="64"/>
      <c r="H4" s="64"/>
      <c r="I4" s="64"/>
      <c r="J4" s="65"/>
      <c r="L4" s="238">
        <v>1</v>
      </c>
    </row>
    <row r="5" spans="1:13" ht="12.75" customHeight="1">
      <c r="A5" s="2"/>
      <c r="B5" s="118"/>
      <c r="C5" s="158" t="s">
        <v>335</v>
      </c>
      <c r="D5" s="158"/>
      <c r="E5" s="123"/>
      <c r="F5" s="123"/>
      <c r="G5" s="123">
        <f>Åregn!M27-F7</f>
        <v>746333</v>
      </c>
      <c r="H5" s="158"/>
      <c r="I5" s="93"/>
      <c r="J5" s="65"/>
      <c r="L5" s="238">
        <v>5</v>
      </c>
      <c r="M5" s="238" t="s">
        <v>456</v>
      </c>
    </row>
    <row r="6" spans="2:13" ht="12.75" customHeight="1">
      <c r="B6" s="118"/>
      <c r="C6" s="158" t="s">
        <v>336</v>
      </c>
      <c r="D6" s="158"/>
      <c r="E6" s="123">
        <f>Saldobalance_Input!D78</f>
        <v>6985</v>
      </c>
      <c r="F6" s="123"/>
      <c r="G6" s="123"/>
      <c r="H6" s="158"/>
      <c r="I6" s="76"/>
      <c r="J6" s="77"/>
      <c r="M6" s="238" t="s">
        <v>106</v>
      </c>
    </row>
    <row r="7" spans="2:13" ht="12.75" customHeight="1">
      <c r="B7" s="118"/>
      <c r="C7" s="158" t="s">
        <v>337</v>
      </c>
      <c r="D7" s="158"/>
      <c r="E7" s="239">
        <f>Saldobalance_Input!C83+Saldobalance_Input!C84</f>
        <v>50176</v>
      </c>
      <c r="F7" s="239">
        <f>E6-E7</f>
        <v>-43191</v>
      </c>
      <c r="G7" s="239">
        <f>IF(ordning="PSL",0,IF(ordning="VSO",F7,IF(ordning="KAO",0,IF(ordning="ApS",F7,0))))</f>
        <v>-43191</v>
      </c>
      <c r="H7" s="158"/>
      <c r="I7" s="76"/>
      <c r="J7" s="77"/>
      <c r="M7" s="238" t="s">
        <v>107</v>
      </c>
    </row>
    <row r="8" spans="2:13" ht="12.75" customHeight="1">
      <c r="B8" s="118"/>
      <c r="C8" s="158" t="s">
        <v>338</v>
      </c>
      <c r="D8" s="158"/>
      <c r="E8" s="123"/>
      <c r="F8" s="123"/>
      <c r="G8" s="240">
        <f>SUM(G5:G7)</f>
        <v>703142</v>
      </c>
      <c r="H8" s="158"/>
      <c r="I8" s="76"/>
      <c r="J8" s="77"/>
      <c r="M8" s="238" t="s">
        <v>108</v>
      </c>
    </row>
    <row r="9" spans="2:13" ht="12.75" customHeight="1">
      <c r="B9" s="118"/>
      <c r="C9" s="158"/>
      <c r="D9" s="158"/>
      <c r="E9" s="123"/>
      <c r="F9" s="123"/>
      <c r="G9" s="123"/>
      <c r="H9" s="158"/>
      <c r="I9" s="76"/>
      <c r="J9" s="77"/>
      <c r="M9" s="238" t="s">
        <v>109</v>
      </c>
    </row>
    <row r="10" spans="2:10" ht="12.75" customHeight="1">
      <c r="B10" s="118"/>
      <c r="C10" s="158" t="s">
        <v>338</v>
      </c>
      <c r="D10" s="158"/>
      <c r="E10" s="123"/>
      <c r="F10" s="123"/>
      <c r="G10" s="123">
        <f>G8</f>
        <v>703142</v>
      </c>
      <c r="H10" s="158"/>
      <c r="I10" s="76"/>
      <c r="J10" s="77"/>
    </row>
    <row r="11" spans="2:10" ht="12.75" customHeight="1">
      <c r="B11" s="118"/>
      <c r="C11" s="229" t="s">
        <v>138</v>
      </c>
      <c r="D11" s="158"/>
      <c r="E11" s="123">
        <f>Saldobalance_Input!C24</f>
        <v>4337</v>
      </c>
      <c r="F11" s="123"/>
      <c r="G11" s="123"/>
      <c r="H11" s="158"/>
      <c r="I11" s="76"/>
      <c r="J11" s="77"/>
    </row>
    <row r="12" spans="2:10" ht="12.75" customHeight="1">
      <c r="B12" s="118"/>
      <c r="C12" s="241" t="s">
        <v>343</v>
      </c>
      <c r="D12" s="158"/>
      <c r="E12" s="257"/>
      <c r="F12" s="123"/>
      <c r="G12" s="123"/>
      <c r="H12" s="158"/>
      <c r="I12" s="76"/>
      <c r="J12" s="77"/>
    </row>
    <row r="13" spans="2:10" ht="12.75" customHeight="1">
      <c r="B13" s="118"/>
      <c r="C13" s="241" t="s">
        <v>339</v>
      </c>
      <c r="D13" s="158"/>
      <c r="E13" s="239">
        <f>E11-E12</f>
        <v>4337</v>
      </c>
      <c r="F13" s="239">
        <f>E13*0.75</f>
        <v>3252.75</v>
      </c>
      <c r="G13" s="123">
        <f>F13</f>
        <v>3252.75</v>
      </c>
      <c r="H13" s="158"/>
      <c r="I13" s="76"/>
      <c r="J13" s="77"/>
    </row>
    <row r="14" spans="2:10" ht="22.5" customHeight="1">
      <c r="B14" s="118"/>
      <c r="C14" s="404" t="s">
        <v>340</v>
      </c>
      <c r="D14" s="404"/>
      <c r="E14" s="123"/>
      <c r="F14" s="123"/>
      <c r="G14" s="257">
        <v>510</v>
      </c>
      <c r="H14" s="158"/>
      <c r="I14" s="76"/>
      <c r="J14" s="77"/>
    </row>
    <row r="15" spans="2:10" ht="22.5" customHeight="1">
      <c r="B15" s="118"/>
      <c r="C15" s="404" t="s">
        <v>352</v>
      </c>
      <c r="D15" s="404"/>
      <c r="E15" s="123"/>
      <c r="F15" s="123"/>
      <c r="G15" s="257">
        <v>0</v>
      </c>
      <c r="H15" s="158"/>
      <c r="I15" s="76"/>
      <c r="J15" s="77"/>
    </row>
    <row r="16" spans="2:10" ht="12.75" customHeight="1">
      <c r="B16" s="118"/>
      <c r="C16" s="242"/>
      <c r="D16" s="242"/>
      <c r="E16" s="123"/>
      <c r="F16" s="123"/>
      <c r="G16" s="239">
        <f>SUM(G10:G15)</f>
        <v>706904.75</v>
      </c>
      <c r="H16" s="158"/>
      <c r="I16" s="76"/>
      <c r="J16" s="77"/>
    </row>
    <row r="17" spans="2:10" ht="12.75" customHeight="1">
      <c r="B17" s="118"/>
      <c r="C17" s="244" t="s">
        <v>341</v>
      </c>
      <c r="D17" s="244"/>
      <c r="E17" s="245"/>
      <c r="F17" s="245"/>
      <c r="G17" s="246"/>
      <c r="H17" s="153"/>
      <c r="I17" s="76"/>
      <c r="J17" s="77"/>
    </row>
    <row r="18" spans="2:10" ht="12.75" customHeight="1">
      <c r="B18" s="118"/>
      <c r="C18" s="244" t="str">
        <f>Saldobalance_Input!B71</f>
        <v>Immaterielle</v>
      </c>
      <c r="D18" s="244"/>
      <c r="E18" s="245"/>
      <c r="F18" s="245">
        <f>Saldobalance_Input!C71</f>
        <v>0</v>
      </c>
      <c r="G18" s="246"/>
      <c r="H18" s="153"/>
      <c r="I18" s="76"/>
      <c r="J18" s="77"/>
    </row>
    <row r="19" spans="2:10" ht="12.75" customHeight="1">
      <c r="B19" s="118"/>
      <c r="C19" s="244" t="str">
        <f>Saldobalance_Input!B72</f>
        <v>Bygninger</v>
      </c>
      <c r="D19" s="244"/>
      <c r="E19" s="245"/>
      <c r="F19" s="245">
        <f>Saldobalance_Input!C72</f>
        <v>40000</v>
      </c>
      <c r="G19" s="246"/>
      <c r="H19" s="153"/>
      <c r="I19" s="76"/>
      <c r="J19" s="77"/>
    </row>
    <row r="20" spans="2:10" ht="12.75" customHeight="1">
      <c r="B20" s="118"/>
      <c r="C20" s="244" t="str">
        <f>Saldobalance_Input!B73</f>
        <v>Biler</v>
      </c>
      <c r="D20" s="244"/>
      <c r="E20" s="245"/>
      <c r="F20" s="245">
        <f>Saldobalance_Input!C73</f>
        <v>26150</v>
      </c>
      <c r="G20" s="246"/>
      <c r="H20" s="153"/>
      <c r="I20" s="76"/>
      <c r="J20" s="77"/>
    </row>
    <row r="21" spans="2:10" ht="12.75" customHeight="1">
      <c r="B21" s="118"/>
      <c r="C21" s="244" t="str">
        <f>Saldobalance_Input!B74</f>
        <v>Øvrige driftsmidler og inventar</v>
      </c>
      <c r="D21" s="244"/>
      <c r="E21" s="245"/>
      <c r="F21" s="247">
        <f>Saldobalance_Input!C74</f>
        <v>25620</v>
      </c>
      <c r="G21" s="247">
        <f>SUM(F18:F21)</f>
        <v>91770</v>
      </c>
      <c r="H21" s="153"/>
      <c r="I21" s="76"/>
      <c r="J21" s="77"/>
    </row>
    <row r="22" spans="2:10" ht="12.75" customHeight="1">
      <c r="B22" s="118"/>
      <c r="C22" s="244"/>
      <c r="D22" s="244"/>
      <c r="E22" s="245"/>
      <c r="F22" s="245"/>
      <c r="G22" s="246"/>
      <c r="H22" s="153"/>
      <c r="I22" s="76"/>
      <c r="J22" s="77"/>
    </row>
    <row r="23" spans="2:10" ht="12.75" customHeight="1">
      <c r="B23" s="118"/>
      <c r="C23" s="244" t="s">
        <v>342</v>
      </c>
      <c r="D23" s="244"/>
      <c r="E23" s="245"/>
      <c r="F23" s="245"/>
      <c r="G23" s="246"/>
      <c r="H23" s="153"/>
      <c r="I23" s="76"/>
      <c r="J23" s="77"/>
    </row>
    <row r="24" spans="2:10" ht="12.75" customHeight="1">
      <c r="B24" s="118"/>
      <c r="C24" s="244" t="str">
        <f>Saldobalance_Input!B71</f>
        <v>Immaterielle</v>
      </c>
      <c r="D24" s="244"/>
      <c r="E24" s="245"/>
      <c r="F24" s="257">
        <v>0</v>
      </c>
      <c r="G24" s="246"/>
      <c r="H24" s="153"/>
      <c r="I24" s="76"/>
      <c r="J24" s="77"/>
    </row>
    <row r="25" spans="2:10" ht="12.75" customHeight="1">
      <c r="B25" s="118"/>
      <c r="C25" s="244" t="str">
        <f>Saldobalance_Input!B72</f>
        <v>Bygninger</v>
      </c>
      <c r="D25" s="244"/>
      <c r="E25" s="245"/>
      <c r="F25" s="257">
        <v>50000</v>
      </c>
      <c r="G25" s="246"/>
      <c r="H25" s="153"/>
      <c r="I25" s="76"/>
      <c r="J25" s="77"/>
    </row>
    <row r="26" spans="2:10" ht="12.75" customHeight="1">
      <c r="B26" s="118"/>
      <c r="C26" s="244" t="str">
        <f>Saldobalance_Input!B73</f>
        <v>Biler</v>
      </c>
      <c r="D26" s="244"/>
      <c r="E26" s="245"/>
      <c r="F26" s="257">
        <v>18387</v>
      </c>
      <c r="G26" s="246"/>
      <c r="H26" s="153"/>
      <c r="I26" s="76"/>
      <c r="J26" s="77"/>
    </row>
    <row r="27" spans="2:10" ht="12.75" customHeight="1">
      <c r="B27" s="118"/>
      <c r="C27" s="244" t="str">
        <f>Saldobalance_Input!B74</f>
        <v>Øvrige driftsmidler og inventar</v>
      </c>
      <c r="D27" s="244"/>
      <c r="E27" s="245"/>
      <c r="F27" s="257">
        <v>28048</v>
      </c>
      <c r="G27" s="247">
        <f>-SUM(F24:F27)</f>
        <v>-96435</v>
      </c>
      <c r="H27" s="153"/>
      <c r="I27" s="76"/>
      <c r="J27" s="77"/>
    </row>
    <row r="28" spans="2:10" ht="12.75" customHeight="1">
      <c r="B28" s="118"/>
      <c r="C28" s="244"/>
      <c r="D28" s="244"/>
      <c r="E28" s="245"/>
      <c r="F28" s="245"/>
      <c r="G28" s="246"/>
      <c r="H28" s="153"/>
      <c r="I28" s="76"/>
      <c r="J28" s="77"/>
    </row>
    <row r="29" spans="2:10" ht="12.75" customHeight="1">
      <c r="B29" s="118"/>
      <c r="C29" s="244" t="s">
        <v>345</v>
      </c>
      <c r="D29" s="244"/>
      <c r="E29" s="245"/>
      <c r="F29" s="245"/>
      <c r="G29" s="246"/>
      <c r="H29" s="153"/>
      <c r="I29" s="76"/>
      <c r="J29" s="77"/>
    </row>
    <row r="30" spans="2:10" ht="12.75" customHeight="1">
      <c r="B30" s="118"/>
      <c r="C30" s="244" t="s">
        <v>346</v>
      </c>
      <c r="D30" s="244"/>
      <c r="E30" s="245"/>
      <c r="F30" s="245">
        <f>-Ånoter!O131</f>
        <v>50000</v>
      </c>
      <c r="G30" s="246"/>
      <c r="H30" s="153"/>
      <c r="I30" s="76"/>
      <c r="J30" s="77"/>
    </row>
    <row r="31" spans="2:10" ht="12.75" customHeight="1">
      <c r="B31" s="118"/>
      <c r="C31" s="244" t="s">
        <v>347</v>
      </c>
      <c r="D31" s="244"/>
      <c r="E31" s="245"/>
      <c r="F31" s="247">
        <f>-Ånoter!M131</f>
        <v>50000</v>
      </c>
      <c r="G31" s="247">
        <f>-(F30-F31)</f>
        <v>0</v>
      </c>
      <c r="H31" s="153"/>
      <c r="I31" s="76"/>
      <c r="J31" s="77"/>
    </row>
    <row r="32" spans="2:10" ht="12.75" customHeight="1">
      <c r="B32" s="118"/>
      <c r="C32" s="244"/>
      <c r="D32" s="244"/>
      <c r="E32" s="245"/>
      <c r="F32" s="245"/>
      <c r="G32" s="246"/>
      <c r="H32" s="153"/>
      <c r="I32" s="76"/>
      <c r="J32" s="77"/>
    </row>
    <row r="33" spans="2:10" ht="12.75" customHeight="1">
      <c r="B33" s="118"/>
      <c r="C33" s="244" t="s">
        <v>348</v>
      </c>
      <c r="D33" s="244"/>
      <c r="E33" s="245"/>
      <c r="F33" s="245"/>
      <c r="G33" s="246"/>
      <c r="H33" s="153"/>
      <c r="I33" s="76"/>
      <c r="J33" s="77"/>
    </row>
    <row r="34" spans="2:10" ht="12.75" customHeight="1">
      <c r="B34" s="118"/>
      <c r="C34" s="244" t="s">
        <v>349</v>
      </c>
      <c r="D34" s="244"/>
      <c r="E34" s="245"/>
      <c r="F34" s="257">
        <v>0</v>
      </c>
      <c r="G34" s="246"/>
      <c r="H34" s="153"/>
      <c r="I34" s="76"/>
      <c r="J34" s="77"/>
    </row>
    <row r="35" spans="2:10" ht="12.75" customHeight="1">
      <c r="B35" s="118"/>
      <c r="C35" s="244" t="s">
        <v>350</v>
      </c>
      <c r="D35" s="244"/>
      <c r="E35" s="245"/>
      <c r="F35" s="257">
        <v>0</v>
      </c>
      <c r="G35" s="246"/>
      <c r="H35" s="153"/>
      <c r="I35" s="76"/>
      <c r="J35" s="77"/>
    </row>
    <row r="36" spans="2:10" ht="12.75" customHeight="1">
      <c r="B36" s="118"/>
      <c r="C36" s="244" t="s">
        <v>351</v>
      </c>
      <c r="D36" s="244"/>
      <c r="E36" s="245"/>
      <c r="F36" s="257">
        <v>0</v>
      </c>
      <c r="G36" s="247">
        <f>-SUM(F33:F36)</f>
        <v>0</v>
      </c>
      <c r="H36" s="153"/>
      <c r="I36" s="76"/>
      <c r="J36" s="77"/>
    </row>
    <row r="37" spans="2:10" ht="12.75" customHeight="1">
      <c r="B37" s="118"/>
      <c r="C37" s="244"/>
      <c r="D37" s="244"/>
      <c r="E37" s="245"/>
      <c r="F37" s="245"/>
      <c r="G37" s="246"/>
      <c r="H37" s="153"/>
      <c r="I37" s="76"/>
      <c r="J37" s="77"/>
    </row>
    <row r="38" spans="2:10" ht="12.75" customHeight="1">
      <c r="B38" s="118"/>
      <c r="C38" s="229" t="s">
        <v>421</v>
      </c>
      <c r="D38" s="244"/>
      <c r="E38" s="245"/>
      <c r="F38" s="245"/>
      <c r="G38" s="247">
        <f>G16+G21+G27+G31+G36</f>
        <v>702239.75</v>
      </c>
      <c r="H38" s="153"/>
      <c r="I38" s="76"/>
      <c r="J38" s="77"/>
    </row>
    <row r="39" spans="2:10" ht="12.75" customHeight="1">
      <c r="B39" s="119"/>
      <c r="C39" s="282"/>
      <c r="D39" s="283"/>
      <c r="E39" s="284"/>
      <c r="F39" s="284"/>
      <c r="G39" s="284"/>
      <c r="H39" s="285"/>
      <c r="I39" s="80"/>
      <c r="J39" s="81"/>
    </row>
    <row r="40" spans="2:11" ht="7.5" customHeight="1">
      <c r="B40" s="158"/>
      <c r="C40" s="229"/>
      <c r="D40" s="244"/>
      <c r="E40" s="245"/>
      <c r="F40" s="245"/>
      <c r="G40" s="245"/>
      <c r="H40" s="153"/>
      <c r="I40" s="76"/>
      <c r="J40" s="76"/>
      <c r="K40" s="76"/>
    </row>
    <row r="41" spans="2:10" ht="7.5" customHeight="1">
      <c r="B41" s="287"/>
      <c r="C41" s="282"/>
      <c r="D41" s="283"/>
      <c r="E41" s="284"/>
      <c r="F41" s="284"/>
      <c r="G41" s="284"/>
      <c r="H41" s="285"/>
      <c r="I41" s="80"/>
      <c r="J41" s="80"/>
    </row>
    <row r="42" spans="2:10" ht="12.75" customHeight="1">
      <c r="B42" s="118"/>
      <c r="C42" s="229"/>
      <c r="D42" s="244"/>
      <c r="E42" s="245"/>
      <c r="F42" s="245"/>
      <c r="G42" s="245"/>
      <c r="H42" s="153"/>
      <c r="I42" s="76"/>
      <c r="J42" s="77"/>
    </row>
    <row r="43" spans="2:10" s="275" customFormat="1" ht="12.75" customHeight="1" hidden="1">
      <c r="B43" s="75"/>
      <c r="C43" s="276" t="s">
        <v>353</v>
      </c>
      <c r="D43" s="277"/>
      <c r="E43" s="278"/>
      <c r="F43" s="272"/>
      <c r="G43" s="272"/>
      <c r="H43" s="157"/>
      <c r="I43" s="273"/>
      <c r="J43" s="274"/>
    </row>
    <row r="44" spans="2:10" s="275" customFormat="1" ht="12.75" customHeight="1" hidden="1">
      <c r="B44" s="75"/>
      <c r="C44" s="168"/>
      <c r="D44" s="286"/>
      <c r="E44" s="272"/>
      <c r="F44" s="272"/>
      <c r="G44" s="272"/>
      <c r="H44" s="157"/>
      <c r="I44" s="273"/>
      <c r="J44" s="274"/>
    </row>
    <row r="45" spans="2:10" ht="12.75" customHeight="1" hidden="1">
      <c r="B45" s="118"/>
      <c r="C45" s="229" t="str">
        <f>C38</f>
        <v>Årets skattemæssige resultat</v>
      </c>
      <c r="D45" s="244"/>
      <c r="E45" s="245"/>
      <c r="F45" s="245"/>
      <c r="G45" s="247">
        <f>G38</f>
        <v>702239.75</v>
      </c>
      <c r="H45" s="153"/>
      <c r="J45" s="77"/>
    </row>
    <row r="46" spans="2:10" ht="12.75" customHeight="1" hidden="1">
      <c r="B46" s="118"/>
      <c r="C46" s="229"/>
      <c r="D46" s="244"/>
      <c r="E46" s="245"/>
      <c r="F46" s="245"/>
      <c r="G46" s="245"/>
      <c r="H46" s="153"/>
      <c r="I46" s="76"/>
      <c r="J46" s="77"/>
    </row>
    <row r="47" spans="2:10" ht="12.75" customHeight="1" hidden="1">
      <c r="B47" s="118"/>
      <c r="C47" s="229" t="s">
        <v>430</v>
      </c>
      <c r="D47" s="158"/>
      <c r="E47" s="123"/>
      <c r="F47" s="123"/>
      <c r="G47" s="257">
        <v>0</v>
      </c>
      <c r="H47" s="158"/>
      <c r="I47" s="76"/>
      <c r="J47" s="77"/>
    </row>
    <row r="48" spans="2:10" ht="12.75" customHeight="1" hidden="1">
      <c r="B48" s="118"/>
      <c r="C48" s="229" t="s">
        <v>429</v>
      </c>
      <c r="D48" s="158"/>
      <c r="E48" s="123"/>
      <c r="F48" s="123"/>
      <c r="G48" s="257">
        <v>0</v>
      </c>
      <c r="H48" s="158"/>
      <c r="I48" s="76"/>
      <c r="J48" s="77"/>
    </row>
    <row r="49" spans="2:10" ht="12.75" customHeight="1" hidden="1">
      <c r="B49" s="118"/>
      <c r="C49" s="229" t="s">
        <v>365</v>
      </c>
      <c r="D49" s="158"/>
      <c r="E49" s="123"/>
      <c r="F49" s="253"/>
      <c r="G49" s="245">
        <f>IF(SUM(G45:G48)&lt;=0,0,SUM(G45:G48))</f>
        <v>702239.75</v>
      </c>
      <c r="H49" s="254"/>
      <c r="I49" s="248" t="s">
        <v>354</v>
      </c>
      <c r="J49" s="77"/>
    </row>
    <row r="50" spans="2:10" ht="12.75" customHeight="1" hidden="1">
      <c r="B50" s="118"/>
      <c r="C50" s="229" t="s">
        <v>397</v>
      </c>
      <c r="D50" s="158"/>
      <c r="E50" s="123"/>
      <c r="F50" s="123"/>
      <c r="G50" s="123">
        <f>IF(SUM(G45:G48)&lt;0,-SUM(G45:G48),0)</f>
        <v>0</v>
      </c>
      <c r="H50" s="158"/>
      <c r="I50" s="249" t="s">
        <v>398</v>
      </c>
      <c r="J50" s="77"/>
    </row>
    <row r="51" spans="2:10" ht="12.75" customHeight="1" hidden="1">
      <c r="B51" s="118"/>
      <c r="C51" s="229"/>
      <c r="D51" s="158"/>
      <c r="E51" s="123"/>
      <c r="F51" s="253"/>
      <c r="G51" s="156"/>
      <c r="H51" s="254"/>
      <c r="I51" s="256"/>
      <c r="J51" s="77"/>
    </row>
    <row r="52" spans="2:10" ht="12.75" customHeight="1" hidden="1">
      <c r="B52" s="118"/>
      <c r="C52" s="229" t="s">
        <v>356</v>
      </c>
      <c r="D52" s="158"/>
      <c r="E52" s="123"/>
      <c r="F52" s="123"/>
      <c r="G52" s="257">
        <v>3000</v>
      </c>
      <c r="H52" s="153"/>
      <c r="I52" s="249" t="s">
        <v>357</v>
      </c>
      <c r="J52" s="77"/>
    </row>
    <row r="53" spans="2:10" ht="12.75" customHeight="1" hidden="1">
      <c r="B53" s="118"/>
      <c r="C53" s="229"/>
      <c r="D53" s="158"/>
      <c r="E53" s="123"/>
      <c r="F53" s="123"/>
      <c r="G53" s="243"/>
      <c r="H53" s="153"/>
      <c r="I53" s="252"/>
      <c r="J53" s="77"/>
    </row>
    <row r="54" spans="2:10" ht="25.5" customHeight="1" hidden="1">
      <c r="B54" s="118"/>
      <c r="C54" s="404" t="s">
        <v>426</v>
      </c>
      <c r="D54" s="404"/>
      <c r="E54" s="404"/>
      <c r="F54" s="404"/>
      <c r="G54" s="404"/>
      <c r="H54" s="404"/>
      <c r="I54" s="404"/>
      <c r="J54" s="77"/>
    </row>
    <row r="55" spans="2:10" ht="12.75" customHeight="1" hidden="1">
      <c r="B55" s="118"/>
      <c r="C55" s="279" t="s">
        <v>355</v>
      </c>
      <c r="D55" s="280"/>
      <c r="E55" s="281"/>
      <c r="F55" s="245"/>
      <c r="G55" s="245"/>
      <c r="H55" s="153"/>
      <c r="I55" s="76"/>
      <c r="J55" s="77"/>
    </row>
    <row r="56" spans="2:10" ht="12.75" customHeight="1" hidden="1">
      <c r="B56" s="118"/>
      <c r="C56" s="229"/>
      <c r="D56" s="244"/>
      <c r="E56" s="245"/>
      <c r="F56" s="245"/>
      <c r="G56" s="245"/>
      <c r="H56" s="153"/>
      <c r="I56" s="76"/>
      <c r="J56" s="77"/>
    </row>
    <row r="57" spans="2:10" ht="12.75" customHeight="1" hidden="1">
      <c r="B57" s="118"/>
      <c r="C57" s="229" t="str">
        <f>C38</f>
        <v>Årets skattemæssige resultat</v>
      </c>
      <c r="D57" s="158"/>
      <c r="E57" s="123"/>
      <c r="F57" s="123"/>
      <c r="G57" s="123">
        <f>G38</f>
        <v>702239.75</v>
      </c>
      <c r="H57" s="158"/>
      <c r="I57" s="252"/>
      <c r="J57" s="77"/>
    </row>
    <row r="58" spans="2:10" ht="12.75" customHeight="1" hidden="1">
      <c r="B58" s="118"/>
      <c r="C58" s="229"/>
      <c r="D58" s="158"/>
      <c r="E58" s="123"/>
      <c r="F58" s="123"/>
      <c r="G58" s="123"/>
      <c r="H58" s="158"/>
      <c r="I58" s="252"/>
      <c r="J58" s="77"/>
    </row>
    <row r="59" spans="2:10" ht="12.75" customHeight="1" hidden="1">
      <c r="B59" s="118"/>
      <c r="C59" s="229" t="s">
        <v>366</v>
      </c>
      <c r="D59" s="158"/>
      <c r="E59" s="123"/>
      <c r="F59" s="123"/>
      <c r="G59" s="257">
        <v>0</v>
      </c>
      <c r="H59" s="158"/>
      <c r="I59" s="252"/>
      <c r="J59" s="77"/>
    </row>
    <row r="60" spans="2:10" ht="12.75" customHeight="1" hidden="1">
      <c r="B60" s="118"/>
      <c r="C60" s="229" t="s">
        <v>367</v>
      </c>
      <c r="D60" s="158"/>
      <c r="E60" s="123"/>
      <c r="F60" s="123"/>
      <c r="G60" s="123">
        <f>G57-G59</f>
        <v>702239.75</v>
      </c>
      <c r="H60" s="158"/>
      <c r="I60" s="252"/>
      <c r="J60" s="77"/>
    </row>
    <row r="61" spans="2:10" ht="12.75" customHeight="1" hidden="1">
      <c r="B61" s="118"/>
      <c r="C61" s="229"/>
      <c r="D61" s="158"/>
      <c r="E61" s="123"/>
      <c r="F61" s="123"/>
      <c r="G61" s="123"/>
      <c r="H61" s="158"/>
      <c r="I61" s="252"/>
      <c r="J61" s="77"/>
    </row>
    <row r="62" spans="2:10" ht="12.75" customHeight="1" hidden="1">
      <c r="B62" s="118"/>
      <c r="C62" s="229" t="s">
        <v>358</v>
      </c>
      <c r="D62" s="158"/>
      <c r="E62" s="123"/>
      <c r="F62" s="123"/>
      <c r="G62" s="257">
        <v>11242</v>
      </c>
      <c r="H62" s="158"/>
      <c r="I62" s="252"/>
      <c r="J62" s="77"/>
    </row>
    <row r="63" spans="2:10" ht="12.75" customHeight="1" hidden="1">
      <c r="B63" s="118"/>
      <c r="C63" s="229" t="s">
        <v>394</v>
      </c>
      <c r="D63" s="158"/>
      <c r="E63" s="123"/>
      <c r="F63" s="123"/>
      <c r="G63" s="257">
        <v>0</v>
      </c>
      <c r="H63" s="158"/>
      <c r="I63" s="252"/>
      <c r="J63" s="77"/>
    </row>
    <row r="64" spans="2:10" ht="12.75" customHeight="1" hidden="1">
      <c r="B64" s="118"/>
      <c r="C64" s="229" t="s">
        <v>387</v>
      </c>
      <c r="D64" s="158"/>
      <c r="E64" s="123"/>
      <c r="F64" s="123"/>
      <c r="G64" s="257">
        <v>0</v>
      </c>
      <c r="H64" s="229"/>
      <c r="I64" s="252"/>
      <c r="J64" s="77"/>
    </row>
    <row r="65" spans="2:10" ht="12.75" customHeight="1" hidden="1">
      <c r="B65" s="118"/>
      <c r="C65" s="229" t="s">
        <v>286</v>
      </c>
      <c r="D65" s="158"/>
      <c r="E65" s="123"/>
      <c r="F65" s="123"/>
      <c r="G65" s="257">
        <v>400000</v>
      </c>
      <c r="H65" s="158"/>
      <c r="I65" s="252"/>
      <c r="J65" s="77"/>
    </row>
    <row r="66" spans="2:10" ht="12.75" customHeight="1" hidden="1">
      <c r="B66" s="118"/>
      <c r="C66" s="229" t="str">
        <f>"Indskudskonto "&amp;primodato</f>
        <v>Indskudskonto 1/1 2004</v>
      </c>
      <c r="D66" s="158"/>
      <c r="E66" s="123"/>
      <c r="F66" s="259"/>
      <c r="G66" s="257">
        <v>224838</v>
      </c>
      <c r="H66" s="158"/>
      <c r="I66" s="252"/>
      <c r="J66" s="77"/>
    </row>
    <row r="67" spans="2:10" ht="12.75" customHeight="1" hidden="1">
      <c r="B67" s="118"/>
      <c r="C67" s="229" t="str">
        <f>"Indskudskonto "&amp;ultimodato</f>
        <v>Indskudskonto 31/12 2004</v>
      </c>
      <c r="D67" s="158"/>
      <c r="E67" s="123"/>
      <c r="F67" s="259"/>
      <c r="G67" s="257">
        <v>224838</v>
      </c>
      <c r="H67" s="158"/>
      <c r="I67" s="252"/>
      <c r="J67" s="77"/>
    </row>
    <row r="68" spans="2:10" ht="12.75" customHeight="1" hidden="1">
      <c r="B68" s="118"/>
      <c r="C68" s="229"/>
      <c r="D68" s="158"/>
      <c r="E68" s="123"/>
      <c r="F68" s="259"/>
      <c r="G68" s="243"/>
      <c r="H68" s="158"/>
      <c r="I68" s="252"/>
      <c r="J68" s="77"/>
    </row>
    <row r="69" spans="2:10" ht="12.75" customHeight="1" hidden="1">
      <c r="B69" s="118"/>
      <c r="C69" s="229" t="s">
        <v>356</v>
      </c>
      <c r="D69" s="158"/>
      <c r="E69" s="123"/>
      <c r="F69" s="123"/>
      <c r="G69" s="257">
        <v>3000</v>
      </c>
      <c r="H69" s="153"/>
      <c r="J69" s="77"/>
    </row>
    <row r="70" spans="2:10" ht="12.75" customHeight="1" hidden="1">
      <c r="B70" s="118"/>
      <c r="C70" s="258"/>
      <c r="D70" s="159"/>
      <c r="E70" s="259"/>
      <c r="F70" s="259"/>
      <c r="G70" s="243"/>
      <c r="H70" s="159"/>
      <c r="I70" s="260"/>
      <c r="J70" s="77"/>
    </row>
    <row r="71" spans="2:10" ht="12.75" customHeight="1" hidden="1">
      <c r="B71" s="118"/>
      <c r="C71" s="258" t="s">
        <v>380</v>
      </c>
      <c r="D71" s="159"/>
      <c r="E71" s="259"/>
      <c r="F71" s="259"/>
      <c r="G71" s="243"/>
      <c r="H71" s="159"/>
      <c r="I71" s="260"/>
      <c r="J71" s="77"/>
    </row>
    <row r="72" spans="2:10" ht="12.75" customHeight="1" hidden="1">
      <c r="B72" s="118"/>
      <c r="C72" s="258" t="s">
        <v>444</v>
      </c>
      <c r="D72" s="159"/>
      <c r="E72" s="265">
        <f>ROUNDUP((G72/(100%-50%)*100%),0)</f>
        <v>200000</v>
      </c>
      <c r="F72" s="258" t="s">
        <v>381</v>
      </c>
      <c r="G72" s="257">
        <v>100000</v>
      </c>
      <c r="J72" s="77"/>
    </row>
    <row r="73" spans="2:10" ht="12.75" customHeight="1" hidden="1">
      <c r="B73" s="118"/>
      <c r="C73" s="258" t="s">
        <v>445</v>
      </c>
      <c r="D73" s="159"/>
      <c r="E73" s="265">
        <f>ROUNDUP((G73/(100%-38%)*100%),0)</f>
        <v>0</v>
      </c>
      <c r="F73" s="258" t="s">
        <v>381</v>
      </c>
      <c r="G73" s="257"/>
      <c r="J73" s="77"/>
    </row>
    <row r="74" spans="2:10" ht="12.75" customHeight="1" hidden="1">
      <c r="B74" s="118"/>
      <c r="C74" s="258" t="s">
        <v>446</v>
      </c>
      <c r="D74" s="159"/>
      <c r="E74" s="265">
        <f>ROUNDUP((G74/(100%-34%)*100%),0)</f>
        <v>0</v>
      </c>
      <c r="F74" s="258" t="s">
        <v>381</v>
      </c>
      <c r="G74" s="257"/>
      <c r="J74" s="77"/>
    </row>
    <row r="75" spans="2:10" ht="12.75" customHeight="1" hidden="1">
      <c r="B75" s="118"/>
      <c r="C75" s="258" t="s">
        <v>447</v>
      </c>
      <c r="D75" s="159"/>
      <c r="E75" s="265">
        <f>ROUNDUP((G75/(100%-32%)*100%),0)</f>
        <v>0</v>
      </c>
      <c r="F75" s="258" t="s">
        <v>381</v>
      </c>
      <c r="G75" s="257"/>
      <c r="J75" s="77"/>
    </row>
    <row r="76" spans="2:10" ht="12.75" customHeight="1" hidden="1">
      <c r="B76" s="118"/>
      <c r="C76" s="258" t="s">
        <v>448</v>
      </c>
      <c r="D76" s="159"/>
      <c r="E76" s="265">
        <f>ROUNDUP((G76/(100%-30%)*100%),0)</f>
        <v>0</v>
      </c>
      <c r="F76" s="258" t="s">
        <v>381</v>
      </c>
      <c r="G76" s="257"/>
      <c r="J76" s="77"/>
    </row>
    <row r="77" spans="2:10" ht="12.75" customHeight="1" hidden="1">
      <c r="B77" s="118"/>
      <c r="C77" s="258" t="s">
        <v>385</v>
      </c>
      <c r="D77" s="159"/>
      <c r="E77" s="259"/>
      <c r="G77" s="269">
        <f>SUM(G72:G76)</f>
        <v>100000</v>
      </c>
      <c r="H77" s="265"/>
      <c r="I77" s="258"/>
      <c r="J77" s="77"/>
    </row>
    <row r="78" spans="2:10" ht="12.75" customHeight="1" hidden="1">
      <c r="B78" s="118"/>
      <c r="C78" s="258"/>
      <c r="D78" s="159"/>
      <c r="E78" s="259"/>
      <c r="F78" s="259"/>
      <c r="G78" s="243"/>
      <c r="H78" s="159"/>
      <c r="I78" s="260"/>
      <c r="J78" s="77"/>
    </row>
    <row r="79" spans="2:10" ht="12.75" customHeight="1" hidden="1">
      <c r="B79" s="118"/>
      <c r="C79" s="258" t="s">
        <v>382</v>
      </c>
      <c r="D79" s="159"/>
      <c r="E79" s="259"/>
      <c r="F79" s="259"/>
      <c r="G79" s="243"/>
      <c r="H79" s="159"/>
      <c r="I79" s="260"/>
      <c r="J79" s="77"/>
    </row>
    <row r="80" spans="2:10" ht="12.75" customHeight="1" hidden="1">
      <c r="B80" s="118"/>
      <c r="C80" s="258" t="s">
        <v>449</v>
      </c>
      <c r="D80" s="159"/>
      <c r="E80" s="265">
        <f>ROUNDDOWN((G80/100%*(100%-50%)),0)</f>
        <v>0</v>
      </c>
      <c r="F80" s="258" t="s">
        <v>455</v>
      </c>
      <c r="G80" s="265">
        <f>ROUNDDOWN(IF(E72&lt;hævetops,E72,hævetops),0)</f>
        <v>0</v>
      </c>
      <c r="I80" s="260"/>
      <c r="J80" s="77"/>
    </row>
    <row r="81" spans="2:10" ht="12.75" customHeight="1" hidden="1">
      <c r="B81" s="118"/>
      <c r="C81" s="258" t="s">
        <v>450</v>
      </c>
      <c r="D81" s="159"/>
      <c r="E81" s="265">
        <f>ROUNDDOWN((G81/100%*(100%-38%)),0)</f>
        <v>0</v>
      </c>
      <c r="F81" s="258" t="s">
        <v>455</v>
      </c>
      <c r="G81" s="265">
        <f>ROUNDDOWN(IF(G80+E73&lt;hævetops,E73,hævetops-G80),0)</f>
        <v>0</v>
      </c>
      <c r="I81" s="260"/>
      <c r="J81" s="77"/>
    </row>
    <row r="82" spans="2:10" ht="12.75" customHeight="1" hidden="1">
      <c r="B82" s="118"/>
      <c r="C82" s="258" t="s">
        <v>451</v>
      </c>
      <c r="D82" s="159"/>
      <c r="E82" s="265">
        <f>ROUNDDOWN((G82/100%*(100%-34%)),0)</f>
        <v>0</v>
      </c>
      <c r="F82" s="258" t="s">
        <v>455</v>
      </c>
      <c r="G82" s="265">
        <f>ROUNDDOWN(IF(G80+G81+E74&lt;hævetops,E74,hævetops-G80-G81),0)</f>
        <v>0</v>
      </c>
      <c r="I82" s="260"/>
      <c r="J82" s="77"/>
    </row>
    <row r="83" spans="2:10" ht="12.75" customHeight="1" hidden="1">
      <c r="B83" s="118"/>
      <c r="C83" s="258" t="s">
        <v>452</v>
      </c>
      <c r="D83" s="159"/>
      <c r="E83" s="265">
        <f>ROUNDDOWN((G83/100%*(100%-32%)),0)</f>
        <v>0</v>
      </c>
      <c r="F83" s="258" t="s">
        <v>455</v>
      </c>
      <c r="G83" s="265">
        <f>ROUNDDOWN(IF(G80+G81+G82+E75&lt;hævetops,E75,hævetops-G80-G81-G82),0)</f>
        <v>0</v>
      </c>
      <c r="I83" s="260"/>
      <c r="J83" s="77"/>
    </row>
    <row r="84" spans="2:10" ht="12.75" customHeight="1" hidden="1">
      <c r="B84" s="118"/>
      <c r="C84" s="258" t="s">
        <v>453</v>
      </c>
      <c r="D84" s="159"/>
      <c r="E84" s="265">
        <f>ROUNDDOWN((G84/100%*(100%-30%)),0)</f>
        <v>0</v>
      </c>
      <c r="F84" s="258" t="s">
        <v>455</v>
      </c>
      <c r="G84" s="265">
        <f>ROUNDDOWN(IF(G80+G81+G82+G83+E76&lt;hævetops,E76,hævetops-G80-G81-G82-G83),0)</f>
        <v>0</v>
      </c>
      <c r="I84" s="260"/>
      <c r="J84" s="77"/>
    </row>
    <row r="85" spans="2:10" ht="12.75" customHeight="1" hidden="1">
      <c r="B85" s="118"/>
      <c r="C85" s="258" t="s">
        <v>384</v>
      </c>
      <c r="D85" s="159"/>
      <c r="E85" s="259"/>
      <c r="F85" s="265"/>
      <c r="G85" s="269">
        <f>SUM(G80:G84)</f>
        <v>0</v>
      </c>
      <c r="I85" s="260"/>
      <c r="J85" s="77"/>
    </row>
    <row r="86" spans="2:10" ht="12.75" customHeight="1" hidden="1">
      <c r="B86" s="118"/>
      <c r="C86" s="258"/>
      <c r="D86" s="159"/>
      <c r="E86" s="259"/>
      <c r="F86" s="259"/>
      <c r="G86" s="243"/>
      <c r="H86" s="159"/>
      <c r="I86" s="260"/>
      <c r="J86" s="77"/>
    </row>
    <row r="87" spans="2:10" ht="12.75" customHeight="1" hidden="1">
      <c r="B87" s="118"/>
      <c r="C87" s="258"/>
      <c r="D87" s="159"/>
      <c r="E87" s="259"/>
      <c r="F87" s="259"/>
      <c r="G87" s="243"/>
      <c r="H87" s="159"/>
      <c r="I87" s="260"/>
      <c r="J87" s="77"/>
    </row>
    <row r="88" spans="2:10" ht="12.75" customHeight="1" hidden="1">
      <c r="B88" s="118"/>
      <c r="C88" s="258" t="s">
        <v>383</v>
      </c>
      <c r="D88" s="159"/>
      <c r="E88" s="259"/>
      <c r="F88" s="259"/>
      <c r="G88" s="243"/>
      <c r="H88" s="159"/>
      <c r="I88" s="260"/>
      <c r="J88" s="77"/>
    </row>
    <row r="89" spans="2:10" ht="12.75" customHeight="1" hidden="1">
      <c r="B89" s="118"/>
      <c r="C89" s="258" t="s">
        <v>444</v>
      </c>
      <c r="D89" s="159"/>
      <c r="E89" s="268">
        <f>E72-G80</f>
        <v>200000</v>
      </c>
      <c r="F89" s="258" t="s">
        <v>381</v>
      </c>
      <c r="G89" s="265">
        <f>ROUNDDOWN(E89/100%*(100%-50%),0)</f>
        <v>100000</v>
      </c>
      <c r="I89" s="258"/>
      <c r="J89" s="77"/>
    </row>
    <row r="90" spans="2:10" ht="12.75" customHeight="1" hidden="1">
      <c r="B90" s="118"/>
      <c r="C90" s="258" t="s">
        <v>445</v>
      </c>
      <c r="D90" s="159"/>
      <c r="E90" s="268">
        <f>E73-G81</f>
        <v>0</v>
      </c>
      <c r="F90" s="258" t="s">
        <v>381</v>
      </c>
      <c r="G90" s="265">
        <f>ROUNDDOWN(E90/100%*(100%-38%),0)</f>
        <v>0</v>
      </c>
      <c r="I90" s="258"/>
      <c r="J90" s="77"/>
    </row>
    <row r="91" spans="2:10" ht="12.75" customHeight="1" hidden="1">
      <c r="B91" s="118"/>
      <c r="C91" s="258" t="s">
        <v>446</v>
      </c>
      <c r="D91" s="159"/>
      <c r="E91" s="268">
        <f>E74-G82</f>
        <v>0</v>
      </c>
      <c r="F91" s="258" t="s">
        <v>381</v>
      </c>
      <c r="G91" s="265">
        <f>ROUNDDOWN(E91/100%*(100%-34%),0)</f>
        <v>0</v>
      </c>
      <c r="I91" s="258"/>
      <c r="J91" s="77"/>
    </row>
    <row r="92" spans="2:13" ht="12.75" customHeight="1" hidden="1">
      <c r="B92" s="118"/>
      <c r="C92" s="258" t="s">
        <v>447</v>
      </c>
      <c r="D92" s="159"/>
      <c r="E92" s="268">
        <f>E75-G83</f>
        <v>0</v>
      </c>
      <c r="F92" s="258" t="s">
        <v>381</v>
      </c>
      <c r="G92" s="265">
        <f>ROUNDDOWN(E92/100%*(100%-32%),0)</f>
        <v>0</v>
      </c>
      <c r="I92" s="258"/>
      <c r="J92" s="77"/>
      <c r="M92" s="250"/>
    </row>
    <row r="93" spans="2:10" ht="12.75" customHeight="1" hidden="1">
      <c r="B93" s="118"/>
      <c r="C93" s="258" t="s">
        <v>448</v>
      </c>
      <c r="D93" s="159"/>
      <c r="E93" s="268">
        <f>E76-G84</f>
        <v>0</v>
      </c>
      <c r="F93" s="258" t="s">
        <v>381</v>
      </c>
      <c r="G93" s="265">
        <f>ROUNDDOWN(E93/100%*(100%-30%),0)</f>
        <v>0</v>
      </c>
      <c r="I93" s="258"/>
      <c r="J93" s="77"/>
    </row>
    <row r="94" spans="2:10" ht="12.75" customHeight="1" hidden="1">
      <c r="B94" s="118"/>
      <c r="C94" s="258" t="s">
        <v>386</v>
      </c>
      <c r="D94" s="159"/>
      <c r="E94" s="265"/>
      <c r="G94" s="269">
        <f>SUM(G89:G93)</f>
        <v>100000</v>
      </c>
      <c r="I94" s="258"/>
      <c r="J94" s="77"/>
    </row>
    <row r="95" spans="2:10" ht="12.75" customHeight="1" hidden="1">
      <c r="B95" s="79"/>
      <c r="C95" s="80"/>
      <c r="D95" s="80"/>
      <c r="E95" s="80"/>
      <c r="F95" s="80"/>
      <c r="G95" s="80"/>
      <c r="H95" s="80"/>
      <c r="I95" s="80"/>
      <c r="J95" s="81"/>
    </row>
    <row r="96" spans="2:10" ht="7.5" customHeight="1" hidden="1">
      <c r="B96" s="76"/>
      <c r="C96" s="76"/>
      <c r="D96" s="76"/>
      <c r="E96" s="76"/>
      <c r="F96" s="76"/>
      <c r="G96" s="76"/>
      <c r="H96" s="76"/>
      <c r="I96" s="76"/>
      <c r="J96" s="76"/>
    </row>
    <row r="97" spans="2:10" ht="7.5" customHeight="1" hidden="1">
      <c r="B97" s="287"/>
      <c r="C97" s="288"/>
      <c r="D97" s="289"/>
      <c r="E97" s="290"/>
      <c r="F97" s="290"/>
      <c r="G97" s="291"/>
      <c r="H97" s="289"/>
      <c r="I97" s="292"/>
      <c r="J97" s="80"/>
    </row>
    <row r="98" spans="2:10" ht="12.75" customHeight="1" hidden="1">
      <c r="B98" s="118"/>
      <c r="C98" s="258"/>
      <c r="D98" s="159"/>
      <c r="E98" s="259"/>
      <c r="F98" s="259"/>
      <c r="G98" s="243"/>
      <c r="H98" s="159"/>
      <c r="I98" s="260"/>
      <c r="J98" s="77"/>
    </row>
    <row r="99" spans="2:10" ht="12.75" customHeight="1" hidden="1">
      <c r="B99" s="118"/>
      <c r="C99" s="258"/>
      <c r="D99" s="159"/>
      <c r="E99" s="261">
        <f>$G$62</f>
        <v>11242</v>
      </c>
      <c r="F99" s="259"/>
      <c r="G99" s="243"/>
      <c r="H99" s="159"/>
      <c r="I99" s="260"/>
      <c r="J99" s="77"/>
    </row>
    <row r="100" spans="2:10" ht="9.75" customHeight="1" hidden="1">
      <c r="B100" s="118"/>
      <c r="C100" s="258"/>
      <c r="D100" s="159"/>
      <c r="E100" s="264" t="s">
        <v>373</v>
      </c>
      <c r="F100" s="259"/>
      <c r="G100" s="243"/>
      <c r="H100" s="159"/>
      <c r="I100" s="260"/>
      <c r="J100" s="77"/>
    </row>
    <row r="101" spans="2:10" ht="12.75" customHeight="1" hidden="1">
      <c r="B101" s="118"/>
      <c r="C101" s="262">
        <f>$G$60</f>
        <v>702239.75</v>
      </c>
      <c r="D101" s="159"/>
      <c r="E101" s="259"/>
      <c r="F101" s="259"/>
      <c r="G101" s="261">
        <f>E103-G105</f>
        <v>259226.32142857142</v>
      </c>
      <c r="H101" s="159"/>
      <c r="I101" s="260"/>
      <c r="J101" s="77"/>
    </row>
    <row r="102" spans="2:10" ht="9.75" customHeight="1" hidden="1">
      <c r="B102" s="118"/>
      <c r="C102" s="264" t="s">
        <v>370</v>
      </c>
      <c r="D102" s="159"/>
      <c r="E102" s="259"/>
      <c r="F102" s="259"/>
      <c r="G102" s="264" t="s">
        <v>375</v>
      </c>
      <c r="H102" s="159"/>
      <c r="I102" s="260"/>
      <c r="J102" s="77"/>
    </row>
    <row r="103" spans="2:10" ht="12.75" customHeight="1" hidden="1">
      <c r="B103" s="118"/>
      <c r="C103" s="258"/>
      <c r="D103" s="159"/>
      <c r="E103" s="261">
        <f>C101-E99</f>
        <v>690997.75</v>
      </c>
      <c r="F103" s="259"/>
      <c r="G103" s="243"/>
      <c r="H103" s="159"/>
      <c r="I103" s="262">
        <f>G105-I107</f>
        <v>129531.42857142858</v>
      </c>
      <c r="J103" s="77"/>
    </row>
    <row r="104" spans="2:10" ht="9.75" customHeight="1" hidden="1">
      <c r="B104" s="118"/>
      <c r="C104" s="258"/>
      <c r="D104" s="159"/>
      <c r="E104" s="264" t="s">
        <v>374</v>
      </c>
      <c r="F104" s="259"/>
      <c r="G104" s="243"/>
      <c r="H104" s="159"/>
      <c r="I104" s="264" t="s">
        <v>377</v>
      </c>
      <c r="J104" s="77"/>
    </row>
    <row r="105" spans="2:10" ht="12.75" customHeight="1" hidden="1">
      <c r="B105" s="118"/>
      <c r="C105" s="258"/>
      <c r="D105" s="159"/>
      <c r="E105" s="259"/>
      <c r="F105" s="259"/>
      <c r="G105" s="262">
        <f>G111</f>
        <v>431771.4285714286</v>
      </c>
      <c r="H105" s="159"/>
      <c r="I105" s="260"/>
      <c r="J105" s="77"/>
    </row>
    <row r="106" spans="2:10" ht="9.75" customHeight="1" hidden="1">
      <c r="B106" s="118"/>
      <c r="C106" s="229"/>
      <c r="D106" s="158"/>
      <c r="E106" s="123"/>
      <c r="F106" s="123"/>
      <c r="G106" s="264" t="s">
        <v>378</v>
      </c>
      <c r="H106" s="158"/>
      <c r="I106" s="252"/>
      <c r="J106" s="77"/>
    </row>
    <row r="107" spans="2:10" ht="12.75" customHeight="1" hidden="1">
      <c r="B107" s="118"/>
      <c r="C107" s="229"/>
      <c r="D107" s="158"/>
      <c r="E107" s="123"/>
      <c r="F107" s="123"/>
      <c r="G107" s="123"/>
      <c r="H107" s="158"/>
      <c r="I107" s="262">
        <f>G115</f>
        <v>302240</v>
      </c>
      <c r="J107" s="77"/>
    </row>
    <row r="108" spans="2:10" ht="9.75" customHeight="1" hidden="1">
      <c r="B108" s="118"/>
      <c r="C108" s="229"/>
      <c r="D108" s="158"/>
      <c r="E108" s="123"/>
      <c r="F108" s="123"/>
      <c r="G108" s="123"/>
      <c r="H108" s="158"/>
      <c r="I108" s="264" t="s">
        <v>376</v>
      </c>
      <c r="J108" s="77"/>
    </row>
    <row r="109" spans="2:10" ht="9.75" customHeight="1" hidden="1">
      <c r="B109" s="118"/>
      <c r="C109" s="229"/>
      <c r="D109" s="158"/>
      <c r="E109" s="123"/>
      <c r="F109" s="123"/>
      <c r="G109" s="123"/>
      <c r="H109" s="158"/>
      <c r="I109" s="270"/>
      <c r="J109" s="77"/>
    </row>
    <row r="110" spans="2:10" ht="12.75" customHeight="1" hidden="1">
      <c r="B110" s="118"/>
      <c r="C110" s="229"/>
      <c r="D110" s="158"/>
      <c r="E110" s="123"/>
      <c r="F110" s="123"/>
      <c r="G110" s="123"/>
      <c r="H110" s="158"/>
      <c r="I110" s="263"/>
      <c r="J110" s="77"/>
    </row>
    <row r="111" spans="2:10" ht="12.75" customHeight="1" hidden="1">
      <c r="B111" s="118"/>
      <c r="C111" s="229"/>
      <c r="D111" s="158"/>
      <c r="E111" s="123"/>
      <c r="F111" s="123"/>
      <c r="G111" s="262">
        <f>G115/(100%-sskat)*100%</f>
        <v>431771.4285714286</v>
      </c>
      <c r="H111" s="158"/>
      <c r="J111" s="77"/>
    </row>
    <row r="112" spans="2:10" ht="9.75" customHeight="1" hidden="1">
      <c r="B112" s="118"/>
      <c r="C112" s="229"/>
      <c r="D112" s="158"/>
      <c r="E112" s="123"/>
      <c r="F112" s="123"/>
      <c r="G112" s="264" t="s">
        <v>372</v>
      </c>
      <c r="H112" s="158"/>
      <c r="J112" s="77"/>
    </row>
    <row r="113" spans="2:10" ht="9.75" customHeight="1" hidden="1">
      <c r="B113" s="118"/>
      <c r="C113" s="229"/>
      <c r="D113" s="158"/>
      <c r="E113" s="123"/>
      <c r="F113" s="123"/>
      <c r="G113" s="405"/>
      <c r="H113" s="405"/>
      <c r="I113" s="252"/>
      <c r="J113" s="77"/>
    </row>
    <row r="114" spans="2:10" ht="12.75" customHeight="1" hidden="1">
      <c r="B114" s="118"/>
      <c r="C114" s="229"/>
      <c r="D114" s="158"/>
      <c r="E114" s="123"/>
      <c r="F114" s="123"/>
      <c r="G114" s="405"/>
      <c r="H114" s="405"/>
      <c r="I114" s="252"/>
      <c r="J114" s="77"/>
    </row>
    <row r="115" spans="2:10" ht="12.75" customHeight="1" hidden="1">
      <c r="B115" s="118"/>
      <c r="C115" s="262">
        <f>C101</f>
        <v>702239.75</v>
      </c>
      <c r="E115" s="262">
        <f>IF($G$65&gt;$C$115,$C$115,hævet)</f>
        <v>400000</v>
      </c>
      <c r="G115" s="262">
        <f>ROUNDUP(C115-E115,0)</f>
        <v>302240</v>
      </c>
      <c r="H115" s="158"/>
      <c r="I115" s="252"/>
      <c r="J115" s="77"/>
    </row>
    <row r="116" spans="2:10" ht="9.75" customHeight="1" hidden="1">
      <c r="B116" s="118"/>
      <c r="C116" s="264" t="s">
        <v>370</v>
      </c>
      <c r="D116" s="266" t="s">
        <v>368</v>
      </c>
      <c r="E116" s="264" t="s">
        <v>389</v>
      </c>
      <c r="F116" s="267" t="s">
        <v>369</v>
      </c>
      <c r="G116" s="264" t="s">
        <v>371</v>
      </c>
      <c r="H116" s="158"/>
      <c r="I116" s="252"/>
      <c r="J116" s="77"/>
    </row>
    <row r="117" spans="2:10" ht="12.75" customHeight="1" hidden="1">
      <c r="B117" s="118"/>
      <c r="C117" s="229"/>
      <c r="D117" s="158"/>
      <c r="E117" s="123"/>
      <c r="F117" s="123"/>
      <c r="G117" s="123"/>
      <c r="H117" s="158"/>
      <c r="I117" s="252"/>
      <c r="J117" s="77"/>
    </row>
    <row r="118" spans="2:10" ht="12.75" customHeight="1" hidden="1">
      <c r="B118" s="118"/>
      <c r="C118" s="229"/>
      <c r="D118" s="158"/>
      <c r="E118" s="262">
        <f>IF(hævet&gt;$C$115,IF(hævet-$C$115&gt;SUM($E$72:$E$76),SUM($E$72:$E$76),hævet-$C$115),0)</f>
        <v>0</v>
      </c>
      <c r="F118" s="123"/>
      <c r="G118" s="123"/>
      <c r="H118" s="158"/>
      <c r="I118" s="252"/>
      <c r="J118" s="77"/>
    </row>
    <row r="119" spans="2:10" ht="9.75" customHeight="1" hidden="1">
      <c r="B119" s="118"/>
      <c r="C119" s="229"/>
      <c r="D119" s="158"/>
      <c r="E119" s="264" t="s">
        <v>379</v>
      </c>
      <c r="F119" s="123"/>
      <c r="G119" s="123"/>
      <c r="H119" s="158"/>
      <c r="I119" s="252"/>
      <c r="J119" s="77"/>
    </row>
    <row r="120" spans="2:10" ht="12.75" customHeight="1" hidden="1">
      <c r="B120" s="118"/>
      <c r="C120" s="229"/>
      <c r="D120" s="158"/>
      <c r="E120" s="123"/>
      <c r="F120" s="123"/>
      <c r="G120" s="123"/>
      <c r="H120" s="158"/>
      <c r="I120" s="252"/>
      <c r="J120" s="77"/>
    </row>
    <row r="121" spans="2:10" ht="12.75" customHeight="1" hidden="1">
      <c r="B121" s="118"/>
      <c r="C121" s="229"/>
      <c r="D121" s="158"/>
      <c r="E121" s="262">
        <f>IF(AND(hævetops=0,$G$77=0,E115&gt;=hævet),0,hævet-$E$115-hævetops)</f>
        <v>0</v>
      </c>
      <c r="F121" s="123"/>
      <c r="G121" s="123"/>
      <c r="H121" s="158"/>
      <c r="I121" s="252"/>
      <c r="J121" s="77"/>
    </row>
    <row r="122" spans="2:10" ht="9.75" customHeight="1" hidden="1">
      <c r="B122" s="118"/>
      <c r="C122" s="229"/>
      <c r="D122" s="158"/>
      <c r="E122" s="264" t="s">
        <v>388</v>
      </c>
      <c r="F122" s="123"/>
      <c r="G122" s="123"/>
      <c r="H122" s="158"/>
      <c r="I122" s="252"/>
      <c r="J122" s="77"/>
    </row>
    <row r="123" spans="2:10" ht="9.75" customHeight="1" hidden="1">
      <c r="B123" s="118"/>
      <c r="C123" s="229"/>
      <c r="D123" s="159"/>
      <c r="E123" s="270"/>
      <c r="F123" s="259"/>
      <c r="G123" s="123"/>
      <c r="H123" s="158"/>
      <c r="I123" s="252"/>
      <c r="J123" s="77"/>
    </row>
    <row r="124" spans="2:10" ht="9.75" customHeight="1" hidden="1">
      <c r="B124" s="118"/>
      <c r="C124" s="229"/>
      <c r="D124" s="159"/>
      <c r="E124" s="270"/>
      <c r="F124" s="259"/>
      <c r="G124" s="123"/>
      <c r="H124" s="158"/>
      <c r="I124" s="252"/>
      <c r="J124" s="77"/>
    </row>
    <row r="125" spans="2:10" ht="12.75" customHeight="1" hidden="1">
      <c r="B125" s="118"/>
      <c r="C125" s="123" t="str">
        <f>C69</f>
        <v>Værdi af fri telefon</v>
      </c>
      <c r="D125" s="158"/>
      <c r="E125" s="123"/>
      <c r="F125" s="123"/>
      <c r="G125" s="123">
        <f>G69</f>
        <v>3000</v>
      </c>
      <c r="H125" s="158"/>
      <c r="I125" s="249" t="s">
        <v>357</v>
      </c>
      <c r="J125" s="77"/>
    </row>
    <row r="126" spans="2:10" ht="12.75" customHeight="1" hidden="1">
      <c r="B126" s="118"/>
      <c r="C126" s="229" t="s">
        <v>365</v>
      </c>
      <c r="D126" s="158"/>
      <c r="E126" s="123"/>
      <c r="F126" s="123"/>
      <c r="G126" s="123">
        <f>IF(($G$57-$G$7)&lt;=0,0,($G$57-$G$7))</f>
        <v>745430.75</v>
      </c>
      <c r="H126" s="158"/>
      <c r="I126" s="249" t="s">
        <v>354</v>
      </c>
      <c r="J126" s="77"/>
    </row>
    <row r="127" spans="2:10" ht="12.75" customHeight="1" hidden="1">
      <c r="B127" s="118"/>
      <c r="C127" s="229" t="s">
        <v>397</v>
      </c>
      <c r="D127" s="158"/>
      <c r="E127" s="123"/>
      <c r="F127" s="123"/>
      <c r="G127" s="123">
        <f>IF(($G$57-$G$7)&gt;0,0,($G$57-$G$7))</f>
        <v>0</v>
      </c>
      <c r="H127" s="158"/>
      <c r="I127" s="249" t="s">
        <v>398</v>
      </c>
      <c r="J127" s="77"/>
    </row>
    <row r="128" spans="2:10" ht="12.75" customHeight="1" hidden="1">
      <c r="B128" s="118"/>
      <c r="C128" s="229" t="s">
        <v>366</v>
      </c>
      <c r="D128" s="158"/>
      <c r="E128" s="123"/>
      <c r="F128" s="123"/>
      <c r="G128" s="123">
        <f>$G$59</f>
        <v>0</v>
      </c>
      <c r="H128" s="158"/>
      <c r="I128" s="249" t="s">
        <v>391</v>
      </c>
      <c r="J128" s="77"/>
    </row>
    <row r="129" spans="2:10" ht="12.75" customHeight="1" hidden="1">
      <c r="B129" s="118"/>
      <c r="C129" s="229" t="s">
        <v>399</v>
      </c>
      <c r="D129" s="158"/>
      <c r="E129" s="123"/>
      <c r="F129" s="123"/>
      <c r="G129" s="123">
        <f>$E$6</f>
        <v>6985</v>
      </c>
      <c r="H129" s="158"/>
      <c r="I129" s="249" t="s">
        <v>401</v>
      </c>
      <c r="J129" s="77"/>
    </row>
    <row r="130" spans="2:10" ht="12.75" customHeight="1" hidden="1">
      <c r="B130" s="118"/>
      <c r="C130" s="229" t="s">
        <v>400</v>
      </c>
      <c r="D130" s="158"/>
      <c r="E130" s="123"/>
      <c r="F130" s="123"/>
      <c r="G130" s="123">
        <f>$E$7</f>
        <v>50176</v>
      </c>
      <c r="H130" s="158"/>
      <c r="I130" s="249" t="s">
        <v>402</v>
      </c>
      <c r="J130" s="77"/>
    </row>
    <row r="131" spans="2:10" ht="12.75" customHeight="1" hidden="1">
      <c r="B131" s="118"/>
      <c r="C131" s="229" t="s">
        <v>390</v>
      </c>
      <c r="D131" s="158"/>
      <c r="E131" s="123"/>
      <c r="F131" s="123"/>
      <c r="G131" s="123">
        <f>$E$99</f>
        <v>11242</v>
      </c>
      <c r="H131" s="158"/>
      <c r="I131" s="249" t="s">
        <v>360</v>
      </c>
      <c r="J131" s="77"/>
    </row>
    <row r="132" spans="2:10" ht="12.75" customHeight="1" hidden="1">
      <c r="B132" s="118"/>
      <c r="C132" s="229" t="s">
        <v>363</v>
      </c>
      <c r="D132" s="158"/>
      <c r="E132" s="123"/>
      <c r="F132" s="123"/>
      <c r="G132" s="123">
        <f>G105</f>
        <v>431771.4285714286</v>
      </c>
      <c r="H132" s="158"/>
      <c r="I132" s="249" t="s">
        <v>359</v>
      </c>
      <c r="J132" s="77"/>
    </row>
    <row r="133" spans="2:10" ht="12.75" customHeight="1" hidden="1">
      <c r="B133" s="118"/>
      <c r="C133" s="229" t="s">
        <v>395</v>
      </c>
      <c r="D133" s="158"/>
      <c r="E133" s="123"/>
      <c r="F133" s="123"/>
      <c r="G133" s="123">
        <f>$G$63</f>
        <v>0</v>
      </c>
      <c r="H133" s="158"/>
      <c r="I133" s="249" t="s">
        <v>396</v>
      </c>
      <c r="J133" s="77"/>
    </row>
    <row r="134" spans="2:10" ht="12.75" customHeight="1" hidden="1">
      <c r="B134" s="118"/>
      <c r="C134" s="229" t="s">
        <v>392</v>
      </c>
      <c r="D134" s="158"/>
      <c r="E134" s="123"/>
      <c r="F134" s="123"/>
      <c r="G134" s="123">
        <f>$G$85</f>
        <v>0</v>
      </c>
      <c r="H134" s="158"/>
      <c r="I134" s="249" t="s">
        <v>393</v>
      </c>
      <c r="J134" s="77"/>
    </row>
    <row r="135" spans="2:10" ht="12.75" customHeight="1" hidden="1">
      <c r="B135" s="119"/>
      <c r="C135" s="282"/>
      <c r="D135" s="287"/>
      <c r="E135" s="125"/>
      <c r="F135" s="125"/>
      <c r="G135" s="125"/>
      <c r="H135" s="287"/>
      <c r="I135" s="322"/>
      <c r="J135" s="81"/>
    </row>
    <row r="136" spans="2:10" ht="7.5" customHeight="1" hidden="1">
      <c r="B136" s="158"/>
      <c r="C136" s="229"/>
      <c r="D136" s="158"/>
      <c r="E136" s="123"/>
      <c r="F136" s="123"/>
      <c r="G136" s="123"/>
      <c r="H136" s="158"/>
      <c r="I136" s="252"/>
      <c r="J136" s="76"/>
    </row>
    <row r="137" spans="2:10" ht="1.5" customHeight="1" hidden="1">
      <c r="B137" s="158"/>
      <c r="C137" s="229"/>
      <c r="D137" s="158"/>
      <c r="E137" s="123"/>
      <c r="F137" s="123"/>
      <c r="G137" s="123"/>
      <c r="H137" s="158"/>
      <c r="I137" s="252"/>
      <c r="J137" s="76"/>
    </row>
    <row r="138" spans="2:10" ht="7.5" customHeight="1" hidden="1">
      <c r="B138" s="158"/>
      <c r="C138" s="229"/>
      <c r="D138" s="158"/>
      <c r="E138" s="123"/>
      <c r="F138" s="123"/>
      <c r="G138" s="123"/>
      <c r="H138" s="158"/>
      <c r="I138" s="252"/>
      <c r="J138" s="76"/>
    </row>
    <row r="139" spans="2:10" ht="7.5" customHeight="1" hidden="1">
      <c r="B139" s="76"/>
      <c r="C139" s="76"/>
      <c r="D139" s="76"/>
      <c r="E139" s="410" t="s">
        <v>434</v>
      </c>
      <c r="F139" s="411"/>
      <c r="G139" s="412"/>
      <c r="H139" s="76"/>
      <c r="I139" s="76"/>
      <c r="J139" s="76"/>
    </row>
    <row r="140" spans="2:13" ht="7.5" customHeight="1" hidden="1">
      <c r="B140" s="316"/>
      <c r="C140" s="317"/>
      <c r="D140" s="317"/>
      <c r="E140" s="413"/>
      <c r="F140" s="414"/>
      <c r="G140" s="415"/>
      <c r="H140" s="317"/>
      <c r="I140" s="406" t="str">
        <f>IF(M146=254000,"Mellemskat",IF(M147=304800,"Topskat","Ikke optimeret"))</f>
        <v>Topskat</v>
      </c>
      <c r="J140" s="407"/>
      <c r="M140" s="238"/>
    </row>
    <row r="141" spans="2:13" ht="6" customHeight="1" hidden="1">
      <c r="B141" s="78"/>
      <c r="C141" s="76"/>
      <c r="D141" s="76"/>
      <c r="E141" s="326"/>
      <c r="F141" s="326"/>
      <c r="G141" s="326"/>
      <c r="H141" s="76"/>
      <c r="I141" s="408"/>
      <c r="J141" s="409"/>
      <c r="M141" s="238"/>
    </row>
    <row r="142" spans="2:13" ht="12.75" customHeight="1" hidden="1">
      <c r="B142" s="78"/>
      <c r="C142" s="76"/>
      <c r="D142" s="76"/>
      <c r="E142" s="76"/>
      <c r="F142" s="76"/>
      <c r="G142" s="76"/>
      <c r="H142" s="76"/>
      <c r="I142" s="328"/>
      <c r="J142" s="325"/>
      <c r="M142" s="238"/>
    </row>
    <row r="143" spans="2:13" ht="12.75" customHeight="1" hidden="1">
      <c r="B143" s="78"/>
      <c r="C143" s="229" t="s">
        <v>442</v>
      </c>
      <c r="D143" s="76"/>
      <c r="E143" s="76"/>
      <c r="F143" s="76"/>
      <c r="G143" s="257">
        <v>-44236</v>
      </c>
      <c r="H143" s="76"/>
      <c r="I143" s="78"/>
      <c r="J143" s="77"/>
      <c r="M143" s="238"/>
    </row>
    <row r="144" spans="2:13" ht="12.75" customHeight="1" hidden="1">
      <c r="B144" s="78"/>
      <c r="C144" s="229" t="s">
        <v>438</v>
      </c>
      <c r="D144" s="76"/>
      <c r="E144" s="76"/>
      <c r="F144" s="76"/>
      <c r="G144" s="257">
        <v>40100</v>
      </c>
      <c r="H144" s="76"/>
      <c r="I144" s="78"/>
      <c r="J144" s="77"/>
      <c r="M144" s="238"/>
    </row>
    <row r="145" spans="2:13" ht="12.75" customHeight="1" hidden="1">
      <c r="B145" s="78"/>
      <c r="C145" s="229" t="s">
        <v>437</v>
      </c>
      <c r="D145" s="76"/>
      <c r="E145" s="76"/>
      <c r="F145" s="76"/>
      <c r="G145" s="257">
        <v>85000</v>
      </c>
      <c r="H145" s="76"/>
      <c r="I145" s="78"/>
      <c r="J145" s="77"/>
      <c r="M145" s="238"/>
    </row>
    <row r="146" spans="2:13" ht="12.75" customHeight="1" hidden="1">
      <c r="B146" s="78"/>
      <c r="D146" s="76"/>
      <c r="E146" s="76"/>
      <c r="F146" s="76"/>
      <c r="G146" s="243"/>
      <c r="H146" s="76"/>
      <c r="I146" s="317"/>
      <c r="J146" s="318"/>
      <c r="M146" s="320">
        <f>G153+IF(ppn+G186&lt;0,0,ppn+G186)</f>
        <v>264700.0000000002</v>
      </c>
    </row>
    <row r="147" spans="2:13" ht="12.75" customHeight="1" hidden="1">
      <c r="B147" s="78"/>
      <c r="C147" s="229" t="s">
        <v>431</v>
      </c>
      <c r="D147" s="76"/>
      <c r="E147" s="76"/>
      <c r="F147" s="76"/>
      <c r="G147" s="319">
        <f>hævet</f>
        <v>400000</v>
      </c>
      <c r="H147" s="76"/>
      <c r="I147" s="76"/>
      <c r="J147" s="77"/>
      <c r="M147" s="320">
        <f>G153+pension+IF(ppn+G186&lt;0,0,ppn+G186)</f>
        <v>304800.0000000002</v>
      </c>
    </row>
    <row r="148" spans="2:13" ht="12.75" customHeight="1" hidden="1">
      <c r="B148" s="78"/>
      <c r="C148" s="258" t="s">
        <v>432</v>
      </c>
      <c r="D148" s="76"/>
      <c r="E148" s="76"/>
      <c r="F148" s="76"/>
      <c r="G148" s="327">
        <v>115128.28152173925</v>
      </c>
      <c r="H148" s="76"/>
      <c r="I148" s="76"/>
      <c r="J148" s="77"/>
      <c r="M148" s="238"/>
    </row>
    <row r="149" spans="2:13" ht="12.75" customHeight="1" hidden="1">
      <c r="B149" s="78"/>
      <c r="C149" s="229" t="s">
        <v>435</v>
      </c>
      <c r="D149" s="76"/>
      <c r="E149" s="76"/>
      <c r="F149" s="76"/>
      <c r="G149" s="319">
        <f>SUM(G147:G148)</f>
        <v>515128.28152173926</v>
      </c>
      <c r="H149" s="76"/>
      <c r="I149" s="76"/>
      <c r="J149" s="77"/>
      <c r="M149" s="238"/>
    </row>
    <row r="150" spans="2:13" ht="12.75" customHeight="1" hidden="1">
      <c r="B150" s="78"/>
      <c r="C150" s="229"/>
      <c r="D150" s="76"/>
      <c r="E150" s="76"/>
      <c r="F150" s="76"/>
      <c r="G150" s="319"/>
      <c r="H150" s="76"/>
      <c r="I150" s="76"/>
      <c r="J150" s="77"/>
      <c r="M150" s="238"/>
    </row>
    <row r="151" spans="2:13" ht="25.5" customHeight="1" hidden="1">
      <c r="B151" s="78"/>
      <c r="C151" s="417" t="s">
        <v>441</v>
      </c>
      <c r="D151" s="417"/>
      <c r="E151" s="417"/>
      <c r="F151" s="417"/>
      <c r="G151" s="319">
        <f>((C157-E155)-IF(C157&gt;=Ohævet,((C157-Ohævet)*100%/(100%-sskat)),(C157)*100%/(100%-sskat)))</f>
        <v>423695.6521739132</v>
      </c>
      <c r="H151" s="76"/>
      <c r="I151" s="76"/>
      <c r="J151" s="77"/>
      <c r="M151" s="320"/>
    </row>
    <row r="152" spans="2:13" ht="25.5" customHeight="1" hidden="1">
      <c r="B152" s="78"/>
      <c r="C152" s="417" t="s">
        <v>440</v>
      </c>
      <c r="D152" s="417"/>
      <c r="E152" s="417"/>
      <c r="F152" s="417"/>
      <c r="G152" s="319">
        <f>G151*(100%-am)</f>
        <v>389800.0000000002</v>
      </c>
      <c r="H152" s="76"/>
      <c r="I152" s="76"/>
      <c r="J152" s="77"/>
      <c r="M152" s="321"/>
    </row>
    <row r="153" spans="2:10" ht="25.5" customHeight="1" hidden="1">
      <c r="B153" s="78"/>
      <c r="C153" s="417" t="s">
        <v>439</v>
      </c>
      <c r="D153" s="417"/>
      <c r="E153" s="417"/>
      <c r="F153" s="417"/>
      <c r="G153" s="319">
        <f>G152-pension-pension2</f>
        <v>264700.0000000002</v>
      </c>
      <c r="H153" s="76"/>
      <c r="I153" s="330"/>
      <c r="J153" s="77"/>
    </row>
    <row r="154" spans="2:10" ht="12.75" customHeight="1" hidden="1">
      <c r="B154" s="78"/>
      <c r="C154" s="229"/>
      <c r="D154" s="76"/>
      <c r="E154" s="76"/>
      <c r="F154" s="76"/>
      <c r="G154" s="319"/>
      <c r="H154" s="76"/>
      <c r="I154" s="76"/>
      <c r="J154" s="77"/>
    </row>
    <row r="155" spans="2:10" ht="12.75" customHeight="1" hidden="1">
      <c r="B155" s="118"/>
      <c r="C155" s="258"/>
      <c r="D155" s="159"/>
      <c r="E155" s="261">
        <f>$G$62</f>
        <v>11242</v>
      </c>
      <c r="F155" s="259"/>
      <c r="G155" s="243"/>
      <c r="H155" s="159"/>
      <c r="I155" s="260"/>
      <c r="J155" s="77"/>
    </row>
    <row r="156" spans="2:10" ht="9.75" customHeight="1" hidden="1">
      <c r="B156" s="118"/>
      <c r="C156" s="258"/>
      <c r="D156" s="159"/>
      <c r="E156" s="264" t="s">
        <v>373</v>
      </c>
      <c r="F156" s="259"/>
      <c r="G156" s="243"/>
      <c r="H156" s="159"/>
      <c r="I156" s="260"/>
      <c r="J156" s="77"/>
    </row>
    <row r="157" spans="2:10" ht="12.75" customHeight="1" hidden="1">
      <c r="B157" s="118"/>
      <c r="C157" s="262">
        <f>$G$60</f>
        <v>702239.75</v>
      </c>
      <c r="D157" s="159"/>
      <c r="E157" s="259"/>
      <c r="F157" s="259"/>
      <c r="G157" s="261">
        <f>E159-G161</f>
        <v>423694.89285714284</v>
      </c>
      <c r="H157" s="159"/>
      <c r="I157" s="260"/>
      <c r="J157" s="77"/>
    </row>
    <row r="158" spans="2:10" ht="9.75" customHeight="1" hidden="1">
      <c r="B158" s="118"/>
      <c r="C158" s="264" t="s">
        <v>370</v>
      </c>
      <c r="D158" s="159"/>
      <c r="E158" s="259"/>
      <c r="F158" s="259"/>
      <c r="G158" s="264" t="s">
        <v>375</v>
      </c>
      <c r="H158" s="159"/>
      <c r="I158" s="260"/>
      <c r="J158" s="77"/>
    </row>
    <row r="159" spans="2:10" ht="12.75" customHeight="1" hidden="1">
      <c r="B159" s="118"/>
      <c r="C159" s="258"/>
      <c r="D159" s="159"/>
      <c r="E159" s="261">
        <f>C157-E155</f>
        <v>690997.75</v>
      </c>
      <c r="F159" s="259"/>
      <c r="G159" s="243"/>
      <c r="H159" s="159"/>
      <c r="I159" s="262">
        <f>G161-I163</f>
        <v>80190.85714285716</v>
      </c>
      <c r="J159" s="77"/>
    </row>
    <row r="160" spans="2:10" ht="9.75" customHeight="1" hidden="1">
      <c r="B160" s="118"/>
      <c r="C160" s="258"/>
      <c r="D160" s="159"/>
      <c r="E160" s="264" t="s">
        <v>374</v>
      </c>
      <c r="F160" s="259"/>
      <c r="G160" s="243"/>
      <c r="H160" s="159"/>
      <c r="I160" s="264" t="s">
        <v>377</v>
      </c>
      <c r="J160" s="77"/>
    </row>
    <row r="161" spans="2:10" ht="12.75" customHeight="1" hidden="1">
      <c r="B161" s="118"/>
      <c r="C161" s="258"/>
      <c r="D161" s="159"/>
      <c r="E161" s="259"/>
      <c r="F161" s="259"/>
      <c r="G161" s="262">
        <f>G167</f>
        <v>267302.85714285716</v>
      </c>
      <c r="H161" s="159"/>
      <c r="I161" s="260"/>
      <c r="J161" s="77"/>
    </row>
    <row r="162" spans="2:10" ht="9.75" customHeight="1" hidden="1">
      <c r="B162" s="118"/>
      <c r="C162" s="229"/>
      <c r="D162" s="158"/>
      <c r="E162" s="123"/>
      <c r="F162" s="123"/>
      <c r="G162" s="264" t="s">
        <v>378</v>
      </c>
      <c r="H162" s="158"/>
      <c r="I162" s="252"/>
      <c r="J162" s="77"/>
    </row>
    <row r="163" spans="2:10" ht="12.75" customHeight="1" hidden="1">
      <c r="B163" s="118"/>
      <c r="C163" s="229"/>
      <c r="D163" s="158"/>
      <c r="E163" s="123"/>
      <c r="F163" s="123"/>
      <c r="G163" s="123"/>
      <c r="H163" s="158"/>
      <c r="I163" s="262">
        <f>G171</f>
        <v>187112</v>
      </c>
      <c r="J163" s="77"/>
    </row>
    <row r="164" spans="2:10" ht="9.75" customHeight="1" hidden="1">
      <c r="B164" s="118"/>
      <c r="C164" s="229"/>
      <c r="D164" s="158"/>
      <c r="E164" s="123"/>
      <c r="F164" s="123"/>
      <c r="G164" s="123"/>
      <c r="H164" s="158"/>
      <c r="I164" s="264" t="s">
        <v>376</v>
      </c>
      <c r="J164" s="77"/>
    </row>
    <row r="165" spans="2:10" ht="9.75" customHeight="1" hidden="1">
      <c r="B165" s="118"/>
      <c r="C165" s="229"/>
      <c r="D165" s="158"/>
      <c r="E165" s="123"/>
      <c r="F165" s="123"/>
      <c r="G165" s="123"/>
      <c r="H165" s="158"/>
      <c r="I165" s="270"/>
      <c r="J165" s="77"/>
    </row>
    <row r="166" spans="2:10" ht="12.75" customHeight="1" hidden="1">
      <c r="B166" s="118"/>
      <c r="C166" s="229"/>
      <c r="D166" s="158"/>
      <c r="E166" s="123"/>
      <c r="F166" s="123"/>
      <c r="G166" s="123"/>
      <c r="H166" s="158"/>
      <c r="I166" s="263"/>
      <c r="J166" s="77"/>
    </row>
    <row r="167" spans="2:10" ht="12.75" customHeight="1" hidden="1">
      <c r="B167" s="118"/>
      <c r="C167" s="229"/>
      <c r="D167" s="158"/>
      <c r="E167" s="123"/>
      <c r="F167" s="123"/>
      <c r="G167" s="262">
        <f>G171/(100%-sskat)*100%</f>
        <v>267302.85714285716</v>
      </c>
      <c r="H167" s="158"/>
      <c r="J167" s="77"/>
    </row>
    <row r="168" spans="2:10" ht="9.75" customHeight="1" hidden="1">
      <c r="B168" s="118"/>
      <c r="C168" s="229"/>
      <c r="D168" s="158"/>
      <c r="E168" s="123"/>
      <c r="F168" s="123"/>
      <c r="G168" s="264" t="s">
        <v>372</v>
      </c>
      <c r="H168" s="158"/>
      <c r="J168" s="77"/>
    </row>
    <row r="169" spans="2:10" ht="9.75" customHeight="1" hidden="1">
      <c r="B169" s="118"/>
      <c r="C169" s="229"/>
      <c r="D169" s="158"/>
      <c r="E169" s="123"/>
      <c r="F169" s="123"/>
      <c r="G169" s="405"/>
      <c r="H169" s="405"/>
      <c r="I169" s="252"/>
      <c r="J169" s="77"/>
    </row>
    <row r="170" spans="2:10" ht="12.75" customHeight="1" hidden="1">
      <c r="B170" s="118"/>
      <c r="C170" s="229"/>
      <c r="D170" s="158"/>
      <c r="E170" s="123"/>
      <c r="F170" s="123"/>
      <c r="G170" s="405"/>
      <c r="H170" s="405"/>
      <c r="I170" s="252"/>
      <c r="J170" s="77"/>
    </row>
    <row r="171" spans="2:10" ht="12.75" customHeight="1" hidden="1">
      <c r="B171" s="118"/>
      <c r="C171" s="262">
        <f>C157</f>
        <v>702239.75</v>
      </c>
      <c r="E171" s="262">
        <f>IF($G$65&gt;$C$115,$C$115,Ohævet)</f>
        <v>515128.28152173926</v>
      </c>
      <c r="G171" s="262">
        <f>ROUNDUP(C171-E171,0)</f>
        <v>187112</v>
      </c>
      <c r="H171" s="158"/>
      <c r="I171" s="252"/>
      <c r="J171" s="77"/>
    </row>
    <row r="172" spans="2:10" ht="9.75" customHeight="1" hidden="1">
      <c r="B172" s="118"/>
      <c r="C172" s="264" t="s">
        <v>370</v>
      </c>
      <c r="D172" s="266" t="s">
        <v>368</v>
      </c>
      <c r="E172" s="264" t="s">
        <v>389</v>
      </c>
      <c r="F172" s="267" t="s">
        <v>369</v>
      </c>
      <c r="G172" s="264" t="s">
        <v>371</v>
      </c>
      <c r="H172" s="158"/>
      <c r="I172" s="252"/>
      <c r="J172" s="77"/>
    </row>
    <row r="173" spans="2:10" ht="12.75" customHeight="1" hidden="1">
      <c r="B173" s="118"/>
      <c r="C173" s="229"/>
      <c r="D173" s="158"/>
      <c r="E173" s="123"/>
      <c r="F173" s="123"/>
      <c r="G173" s="123"/>
      <c r="H173" s="158"/>
      <c r="I173" s="252"/>
      <c r="J173" s="77"/>
    </row>
    <row r="174" spans="2:10" ht="12.75" customHeight="1" hidden="1">
      <c r="B174" s="118"/>
      <c r="C174" s="229"/>
      <c r="D174" s="158"/>
      <c r="E174" s="262">
        <f>IF(Ohævet&gt;$C$115,IF(Ohævet-$C$115&gt;SUM($E$72:$E$76),SUM($E$72:$E$76),Ohævet-$C$115),0)</f>
        <v>0</v>
      </c>
      <c r="F174" s="123"/>
      <c r="G174" s="123"/>
      <c r="H174" s="158"/>
      <c r="I174" s="252"/>
      <c r="J174" s="77"/>
    </row>
    <row r="175" spans="2:10" ht="9.75" customHeight="1" hidden="1">
      <c r="B175" s="118"/>
      <c r="C175" s="229"/>
      <c r="D175" s="158"/>
      <c r="E175" s="264" t="s">
        <v>379</v>
      </c>
      <c r="F175" s="123"/>
      <c r="G175" s="123"/>
      <c r="H175" s="158"/>
      <c r="I175" s="252"/>
      <c r="J175" s="77"/>
    </row>
    <row r="176" spans="2:10" ht="12.75" customHeight="1" hidden="1">
      <c r="B176" s="118"/>
      <c r="C176" s="229"/>
      <c r="D176" s="158"/>
      <c r="E176" s="123"/>
      <c r="F176" s="123"/>
      <c r="G176" s="123"/>
      <c r="H176" s="158"/>
      <c r="I176" s="252"/>
      <c r="J176" s="77"/>
    </row>
    <row r="177" spans="2:10" ht="12.75" customHeight="1" hidden="1">
      <c r="B177" s="118"/>
      <c r="C177" s="229"/>
      <c r="D177" s="158"/>
      <c r="E177" s="262">
        <f>IF(AND(Ohævetops=0,G77=0,E171&gt;=Ohævet),0,Ohævet-$E$171-Ohævetops)</f>
        <v>0</v>
      </c>
      <c r="F177" s="123"/>
      <c r="G177" s="123"/>
      <c r="H177" s="158"/>
      <c r="I177" s="252"/>
      <c r="J177" s="77"/>
    </row>
    <row r="178" spans="2:10" ht="9.75" customHeight="1" hidden="1">
      <c r="B178" s="118"/>
      <c r="C178" s="229"/>
      <c r="D178" s="158"/>
      <c r="E178" s="264" t="s">
        <v>388</v>
      </c>
      <c r="F178" s="123"/>
      <c r="G178" s="123"/>
      <c r="H178" s="158"/>
      <c r="I178" s="252"/>
      <c r="J178" s="77"/>
    </row>
    <row r="179" spans="2:10" ht="12.75" customHeight="1" hidden="1">
      <c r="B179" s="78"/>
      <c r="C179" s="229"/>
      <c r="D179" s="76"/>
      <c r="E179" s="76"/>
      <c r="F179" s="76"/>
      <c r="G179" s="319"/>
      <c r="H179" s="76"/>
      <c r="I179" s="76"/>
      <c r="J179" s="77"/>
    </row>
    <row r="180" spans="2:10" ht="12.75" customHeight="1" hidden="1">
      <c r="B180" s="118"/>
      <c r="C180" s="319" t="s">
        <v>356</v>
      </c>
      <c r="D180" s="158"/>
      <c r="E180" s="123"/>
      <c r="F180" s="123"/>
      <c r="G180" s="123">
        <f>G69</f>
        <v>3000</v>
      </c>
      <c r="H180" s="158"/>
      <c r="I180" s="249" t="s">
        <v>357</v>
      </c>
      <c r="J180" s="77"/>
    </row>
    <row r="181" spans="2:10" ht="12.75" customHeight="1" hidden="1">
      <c r="B181" s="118"/>
      <c r="C181" s="229" t="s">
        <v>365</v>
      </c>
      <c r="D181" s="158"/>
      <c r="E181" s="123"/>
      <c r="F181" s="123"/>
      <c r="G181" s="123">
        <f>IF(($G$57-$G$7)&lt;=0,0,($G$57-$G$7))</f>
        <v>745430.75</v>
      </c>
      <c r="H181" s="158"/>
      <c r="I181" s="249" t="s">
        <v>354</v>
      </c>
      <c r="J181" s="77"/>
    </row>
    <row r="182" spans="2:10" ht="12.75" customHeight="1" hidden="1">
      <c r="B182" s="118"/>
      <c r="C182" s="229" t="s">
        <v>397</v>
      </c>
      <c r="D182" s="158"/>
      <c r="E182" s="123"/>
      <c r="F182" s="123"/>
      <c r="G182" s="123">
        <f>IF(($G$57-$G$7)&gt;0,0,($G$57-$G$7))</f>
        <v>0</v>
      </c>
      <c r="H182" s="158"/>
      <c r="I182" s="249" t="s">
        <v>398</v>
      </c>
      <c r="J182" s="77"/>
    </row>
    <row r="183" spans="2:10" ht="12.75" customHeight="1" hidden="1">
      <c r="B183" s="118"/>
      <c r="C183" s="229" t="s">
        <v>366</v>
      </c>
      <c r="D183" s="158"/>
      <c r="E183" s="123"/>
      <c r="F183" s="123"/>
      <c r="G183" s="123">
        <f>$G$59</f>
        <v>0</v>
      </c>
      <c r="H183" s="158"/>
      <c r="I183" s="249" t="s">
        <v>391</v>
      </c>
      <c r="J183" s="77"/>
    </row>
    <row r="184" spans="2:10" ht="12.75" customHeight="1" hidden="1">
      <c r="B184" s="118"/>
      <c r="C184" s="229" t="s">
        <v>399</v>
      </c>
      <c r="D184" s="158"/>
      <c r="E184" s="123"/>
      <c r="F184" s="123"/>
      <c r="G184" s="123">
        <f>$E$6</f>
        <v>6985</v>
      </c>
      <c r="H184" s="158"/>
      <c r="I184" s="249" t="s">
        <v>401</v>
      </c>
      <c r="J184" s="77"/>
    </row>
    <row r="185" spans="2:10" ht="12.75" customHeight="1" hidden="1">
      <c r="B185" s="118"/>
      <c r="C185" s="229" t="s">
        <v>400</v>
      </c>
      <c r="D185" s="158"/>
      <c r="E185" s="123"/>
      <c r="F185" s="123"/>
      <c r="G185" s="123">
        <f>$E$7</f>
        <v>50176</v>
      </c>
      <c r="H185" s="158"/>
      <c r="I185" s="249" t="s">
        <v>402</v>
      </c>
      <c r="J185" s="77"/>
    </row>
    <row r="186" spans="2:10" ht="12.75" customHeight="1" hidden="1">
      <c r="B186" s="118"/>
      <c r="C186" s="229" t="s">
        <v>390</v>
      </c>
      <c r="D186" s="158"/>
      <c r="E186" s="123"/>
      <c r="F186" s="123"/>
      <c r="G186" s="123">
        <f>$E$99</f>
        <v>11242</v>
      </c>
      <c r="H186" s="158"/>
      <c r="I186" s="249" t="s">
        <v>360</v>
      </c>
      <c r="J186" s="77"/>
    </row>
    <row r="187" spans="2:10" ht="12.75" customHeight="1" hidden="1">
      <c r="B187" s="118"/>
      <c r="C187" s="229" t="s">
        <v>363</v>
      </c>
      <c r="D187" s="158"/>
      <c r="E187" s="123"/>
      <c r="F187" s="123"/>
      <c r="G187" s="123">
        <f>(G60-Ohævet)/(100%-sskat)*100%</f>
        <v>267302.0978260868</v>
      </c>
      <c r="H187" s="158"/>
      <c r="I187" s="249" t="s">
        <v>359</v>
      </c>
      <c r="J187" s="77"/>
    </row>
    <row r="188" spans="2:10" ht="12.75" customHeight="1" hidden="1">
      <c r="B188" s="118"/>
      <c r="C188" s="229" t="s">
        <v>395</v>
      </c>
      <c r="D188" s="158"/>
      <c r="E188" s="123"/>
      <c r="F188" s="123"/>
      <c r="G188" s="123">
        <f>$G$63</f>
        <v>0</v>
      </c>
      <c r="H188" s="158"/>
      <c r="I188" s="249" t="s">
        <v>396</v>
      </c>
      <c r="J188" s="77"/>
    </row>
    <row r="189" spans="2:10" ht="12.75" customHeight="1" hidden="1">
      <c r="B189" s="118"/>
      <c r="C189" s="229" t="s">
        <v>392</v>
      </c>
      <c r="D189" s="158"/>
      <c r="E189" s="123"/>
      <c r="F189" s="123"/>
      <c r="G189" s="123">
        <f>$G$85</f>
        <v>0</v>
      </c>
      <c r="H189" s="158"/>
      <c r="I189" s="249" t="s">
        <v>393</v>
      </c>
      <c r="J189" s="77"/>
    </row>
    <row r="190" spans="2:10" s="275" customFormat="1" ht="12.75" customHeight="1" hidden="1">
      <c r="B190" s="75"/>
      <c r="C190" s="276" t="s">
        <v>403</v>
      </c>
      <c r="D190" s="277"/>
      <c r="E190" s="278"/>
      <c r="F190" s="272"/>
      <c r="G190" s="272"/>
      <c r="H190" s="157"/>
      <c r="I190" s="273"/>
      <c r="J190" s="274"/>
    </row>
    <row r="191" spans="2:10" s="275" customFormat="1" ht="12.75" customHeight="1" hidden="1">
      <c r="B191" s="75"/>
      <c r="C191" s="168"/>
      <c r="D191" s="286"/>
      <c r="E191" s="272"/>
      <c r="F191" s="272"/>
      <c r="G191" s="272"/>
      <c r="H191" s="157"/>
      <c r="I191" s="273"/>
      <c r="J191" s="274"/>
    </row>
    <row r="192" spans="2:10" ht="12.75" customHeight="1" hidden="1">
      <c r="B192" s="118"/>
      <c r="C192" s="229" t="str">
        <f>C38</f>
        <v>Årets skattemæssige resultat</v>
      </c>
      <c r="D192" s="158"/>
      <c r="E192" s="123"/>
      <c r="F192" s="123"/>
      <c r="G192" s="123">
        <f>G38</f>
        <v>702239.75</v>
      </c>
      <c r="H192" s="158"/>
      <c r="I192" s="260"/>
      <c r="J192" s="77"/>
    </row>
    <row r="193" spans="2:10" ht="12.75" customHeight="1" hidden="1">
      <c r="B193" s="118"/>
      <c r="C193" s="229"/>
      <c r="D193" s="158"/>
      <c r="E193" s="123"/>
      <c r="F193" s="123"/>
      <c r="G193" s="123"/>
      <c r="H193" s="158"/>
      <c r="I193" s="252"/>
      <c r="J193" s="77"/>
    </row>
    <row r="194" spans="2:10" ht="12.75" customHeight="1" hidden="1">
      <c r="B194" s="118"/>
      <c r="C194" s="229" t="s">
        <v>430</v>
      </c>
      <c r="D194" s="158"/>
      <c r="E194" s="123"/>
      <c r="F194" s="123"/>
      <c r="G194" s="257">
        <v>0</v>
      </c>
      <c r="H194" s="158"/>
      <c r="I194" s="76"/>
      <c r="J194" s="77"/>
    </row>
    <row r="195" spans="2:10" ht="12.75" customHeight="1" hidden="1">
      <c r="B195" s="118"/>
      <c r="C195" s="229" t="s">
        <v>429</v>
      </c>
      <c r="D195" s="158"/>
      <c r="E195" s="123"/>
      <c r="F195" s="123"/>
      <c r="G195" s="257">
        <v>0</v>
      </c>
      <c r="H195" s="158"/>
      <c r="I195" s="76"/>
      <c r="J195" s="77"/>
    </row>
    <row r="196" spans="2:10" ht="12.75" customHeight="1" hidden="1">
      <c r="B196" s="118"/>
      <c r="C196" s="229" t="s">
        <v>365</v>
      </c>
      <c r="D196" s="158"/>
      <c r="E196" s="123"/>
      <c r="F196" s="253"/>
      <c r="G196" s="123">
        <f>IF(SUM(G191:G194)&gt;=0,SUM(G191:G194),0)</f>
        <v>702239.75</v>
      </c>
      <c r="H196" s="254"/>
      <c r="I196" s="248" t="s">
        <v>354</v>
      </c>
      <c r="J196" s="77"/>
    </row>
    <row r="197" spans="2:10" ht="12.75" customHeight="1" hidden="1">
      <c r="B197" s="118"/>
      <c r="C197" s="229" t="s">
        <v>397</v>
      </c>
      <c r="D197" s="158"/>
      <c r="E197" s="123"/>
      <c r="F197" s="123"/>
      <c r="G197" s="123">
        <f>IF(SUM(G192:G195)&lt;0,-SUM(G192:G195),0)</f>
        <v>0</v>
      </c>
      <c r="H197" s="158"/>
      <c r="I197" s="249" t="s">
        <v>398</v>
      </c>
      <c r="J197" s="77"/>
    </row>
    <row r="198" spans="2:10" ht="12.75" customHeight="1" hidden="1">
      <c r="B198" s="118"/>
      <c r="C198" s="229"/>
      <c r="D198" s="158"/>
      <c r="E198" s="123"/>
      <c r="F198" s="253"/>
      <c r="G198" s="156"/>
      <c r="H198" s="254"/>
      <c r="I198" s="271"/>
      <c r="J198" s="77"/>
    </row>
    <row r="199" spans="2:10" ht="12.75" customHeight="1" hidden="1">
      <c r="B199" s="118"/>
      <c r="C199" s="229" t="s">
        <v>358</v>
      </c>
      <c r="D199" s="158"/>
      <c r="E199" s="123"/>
      <c r="F199" s="123"/>
      <c r="G199" s="257">
        <v>67919</v>
      </c>
      <c r="H199" s="158"/>
      <c r="I199" s="249" t="s">
        <v>405</v>
      </c>
      <c r="J199" s="77"/>
    </row>
    <row r="200" spans="2:10" ht="12.75" customHeight="1" hidden="1">
      <c r="B200" s="118"/>
      <c r="C200" s="229"/>
      <c r="D200" s="158"/>
      <c r="E200" s="123"/>
      <c r="F200" s="123"/>
      <c r="G200" s="243"/>
      <c r="H200" s="158"/>
      <c r="I200" s="252"/>
      <c r="J200" s="77"/>
    </row>
    <row r="201" spans="2:10" ht="12.75" customHeight="1" hidden="1">
      <c r="B201" s="118"/>
      <c r="C201" s="229" t="s">
        <v>407</v>
      </c>
      <c r="D201" s="158"/>
      <c r="E201" s="123"/>
      <c r="F201" s="253"/>
      <c r="G201" s="156"/>
      <c r="H201" s="254"/>
      <c r="I201" s="255"/>
      <c r="J201" s="77"/>
    </row>
    <row r="202" spans="2:10" ht="12.75" customHeight="1" hidden="1">
      <c r="B202" s="118"/>
      <c r="C202" s="229" t="str">
        <f>IF(G196&lt;5000,"Til konjunkturudligningskonto (Der kan ikke overføres i året)","Til konjunkturudligningskonto (fra 5.000 kr. til "&amp;TEXT(G196/4,"###.###.###")&amp;" kr.)")</f>
        <v>Til konjunkturudligningskonto (fra 5.000 kr. til 175.560 kr.)</v>
      </c>
      <c r="D202" s="158"/>
      <c r="E202" s="123"/>
      <c r="F202" s="253"/>
      <c r="G202" s="257">
        <v>150000</v>
      </c>
      <c r="H202" s="254"/>
      <c r="I202" s="249" t="s">
        <v>404</v>
      </c>
      <c r="J202" s="77"/>
    </row>
    <row r="203" spans="2:10" ht="12.75" customHeight="1" hidden="1">
      <c r="B203" s="118"/>
      <c r="C203" s="229" t="s">
        <v>408</v>
      </c>
      <c r="D203" s="158"/>
      <c r="E203" s="123"/>
      <c r="F203" s="253"/>
      <c r="G203" s="257">
        <v>0</v>
      </c>
      <c r="H203" s="254"/>
      <c r="I203" s="249" t="s">
        <v>406</v>
      </c>
      <c r="J203" s="77"/>
    </row>
    <row r="204" spans="2:10" ht="12.75" customHeight="1" hidden="1">
      <c r="B204" s="118"/>
      <c r="C204" s="416">
        <f>IF(AND(G202&gt;0,G203&gt;0),"Der kan ikke indskydes og hæves fra konto for konjunkturudligning vedrørende samme indkomstår.","")</f>
      </c>
      <c r="D204" s="416"/>
      <c r="E204" s="416"/>
      <c r="F204" s="416"/>
      <c r="G204" s="416"/>
      <c r="H204" s="416"/>
      <c r="I204" s="416"/>
      <c r="J204" s="77"/>
    </row>
    <row r="205" spans="2:10" ht="12.75" customHeight="1" hidden="1">
      <c r="B205" s="118"/>
      <c r="C205" s="229" t="s">
        <v>356</v>
      </c>
      <c r="D205" s="158"/>
      <c r="E205" s="123"/>
      <c r="F205" s="123"/>
      <c r="G205" s="257">
        <v>3000</v>
      </c>
      <c r="H205" s="153"/>
      <c r="I205" s="249" t="s">
        <v>357</v>
      </c>
      <c r="J205" s="77"/>
    </row>
    <row r="206" spans="2:10" ht="12.75" customHeight="1" hidden="1">
      <c r="B206" s="118"/>
      <c r="C206" s="229"/>
      <c r="D206" s="158"/>
      <c r="E206" s="123"/>
      <c r="F206" s="123"/>
      <c r="G206" s="243"/>
      <c r="H206" s="153"/>
      <c r="I206" s="252"/>
      <c r="J206" s="77"/>
    </row>
    <row r="207" spans="2:10" ht="25.5" customHeight="1" hidden="1">
      <c r="B207" s="118"/>
      <c r="C207" s="404" t="s">
        <v>426</v>
      </c>
      <c r="D207" s="404"/>
      <c r="E207" s="404"/>
      <c r="F207" s="404"/>
      <c r="G207" s="404"/>
      <c r="H207" s="404"/>
      <c r="I207" s="404"/>
      <c r="J207" s="77"/>
    </row>
    <row r="208" spans="2:10" ht="12.75" customHeight="1">
      <c r="B208" s="118"/>
      <c r="C208" s="279" t="s">
        <v>409</v>
      </c>
      <c r="D208" s="280"/>
      <c r="E208" s="281"/>
      <c r="F208" s="245"/>
      <c r="G208" s="245"/>
      <c r="H208" s="153"/>
      <c r="I208" s="76"/>
      <c r="J208" s="77"/>
    </row>
    <row r="209" spans="2:10" ht="12.75" customHeight="1">
      <c r="B209" s="118"/>
      <c r="C209" s="229"/>
      <c r="D209" s="244"/>
      <c r="E209" s="245"/>
      <c r="F209" s="245"/>
      <c r="G209" s="245"/>
      <c r="H209" s="153"/>
      <c r="I209" s="76"/>
      <c r="J209" s="77"/>
    </row>
    <row r="210" spans="2:10" ht="12.75" customHeight="1">
      <c r="B210" s="118"/>
      <c r="C210" s="229" t="s">
        <v>344</v>
      </c>
      <c r="D210" s="158"/>
      <c r="E210" s="123"/>
      <c r="F210" s="123"/>
      <c r="G210" s="123">
        <f>G38</f>
        <v>702239.75</v>
      </c>
      <c r="H210" s="158"/>
      <c r="I210" s="260"/>
      <c r="J210" s="77"/>
    </row>
    <row r="211" spans="2:10" ht="12.75" customHeight="1">
      <c r="B211" s="118"/>
      <c r="C211" s="158"/>
      <c r="D211" s="158"/>
      <c r="E211" s="123"/>
      <c r="F211" s="123"/>
      <c r="G211" s="123"/>
      <c r="H211" s="158"/>
      <c r="I211" s="76"/>
      <c r="J211" s="77"/>
    </row>
    <row r="212" spans="2:10" ht="12.75" customHeight="1">
      <c r="B212" s="118"/>
      <c r="C212" s="229" t="str">
        <f>"Selskabsskat af årets skattepligtige resultat ("&amp;TEXT(sskat,"0%"&amp;")")</f>
        <v>Selskabsskat af årets skattepligtige resultat (30%)</v>
      </c>
      <c r="D212" s="158"/>
      <c r="E212" s="123"/>
      <c r="F212" s="123"/>
      <c r="G212" s="123">
        <f>IF(G210&lt;=0,0,G210*sskat)</f>
        <v>210671.925</v>
      </c>
      <c r="H212" s="158"/>
      <c r="I212" s="76"/>
      <c r="J212" s="77"/>
    </row>
    <row r="213" spans="2:10" ht="12.75" customHeight="1" hidden="1">
      <c r="B213" s="418" t="s">
        <v>443</v>
      </c>
      <c r="C213" s="419"/>
      <c r="D213" s="419"/>
      <c r="E213" s="419"/>
      <c r="F213" s="419"/>
      <c r="G213" s="419"/>
      <c r="H213" s="419"/>
      <c r="I213" s="419"/>
      <c r="J213" s="420"/>
    </row>
    <row r="214" spans="2:10" ht="12.75" customHeight="1">
      <c r="B214" s="79"/>
      <c r="C214" s="80"/>
      <c r="D214" s="80"/>
      <c r="E214" s="80"/>
      <c r="F214" s="80"/>
      <c r="G214" s="80"/>
      <c r="H214" s="80"/>
      <c r="I214" s="80"/>
      <c r="J214" s="81"/>
    </row>
    <row r="215" spans="2:10" ht="7.5" customHeight="1">
      <c r="B215" s="76"/>
      <c r="C215" s="76"/>
      <c r="D215" s="76"/>
      <c r="E215" s="76"/>
      <c r="F215" s="76"/>
      <c r="G215" s="76"/>
      <c r="H215" s="76"/>
      <c r="I215" s="76"/>
      <c r="J215" s="76"/>
    </row>
    <row r="216" spans="2:10" ht="7.5" customHeight="1">
      <c r="B216" s="76"/>
      <c r="C216" s="76"/>
      <c r="D216" s="76"/>
      <c r="E216" s="76"/>
      <c r="F216" s="76"/>
      <c r="G216" s="76"/>
      <c r="H216" s="76"/>
      <c r="I216" s="76"/>
      <c r="J216" s="76"/>
    </row>
    <row r="217" spans="2:10" ht="12.75" customHeight="1">
      <c r="B217" s="323"/>
      <c r="C217" s="218"/>
      <c r="D217" s="218"/>
      <c r="E217" s="324"/>
      <c r="F217" s="324"/>
      <c r="G217" s="324"/>
      <c r="H217" s="218"/>
      <c r="I217" s="317"/>
      <c r="J217" s="318"/>
    </row>
    <row r="218" spans="2:10" ht="34.5" customHeight="1">
      <c r="B218" s="118"/>
      <c r="C218" s="417" t="s">
        <v>410</v>
      </c>
      <c r="D218" s="417"/>
      <c r="E218" s="417"/>
      <c r="F218" s="417"/>
      <c r="G218" s="417"/>
      <c r="H218" s="417"/>
      <c r="I218" s="417"/>
      <c r="J218" s="77"/>
    </row>
    <row r="219" spans="2:10" ht="12.75" customHeight="1">
      <c r="B219" s="79"/>
      <c r="C219" s="80"/>
      <c r="D219" s="80"/>
      <c r="E219" s="80"/>
      <c r="F219" s="80"/>
      <c r="G219" s="80"/>
      <c r="H219" s="80"/>
      <c r="I219" s="80"/>
      <c r="J219" s="81"/>
    </row>
    <row r="220" ht="7.5" customHeight="1"/>
  </sheetData>
  <mergeCells count="17">
    <mergeCell ref="C207:I207"/>
    <mergeCell ref="C204:I204"/>
    <mergeCell ref="C218:I218"/>
    <mergeCell ref="C151:F151"/>
    <mergeCell ref="C152:F152"/>
    <mergeCell ref="C153:F153"/>
    <mergeCell ref="B213:J213"/>
    <mergeCell ref="G113:H114"/>
    <mergeCell ref="G169:H170"/>
    <mergeCell ref="C54:I54"/>
    <mergeCell ref="C15:D15"/>
    <mergeCell ref="I140:J141"/>
    <mergeCell ref="E139:G140"/>
    <mergeCell ref="I2:J2"/>
    <mergeCell ref="B3:J3"/>
    <mergeCell ref="D2:H2"/>
    <mergeCell ref="C14:D14"/>
  </mergeCells>
  <conditionalFormatting sqref="C202">
    <cfRule type="cellIs" priority="1" dxfId="2" operator="equal" stopIfTrue="1">
      <formula>"Til konjunkturudligningskonto (Der kan ikke overføres i året)"</formula>
    </cfRule>
  </conditionalFormatting>
  <dataValidations count="7">
    <dataValidation type="whole" operator="greaterThanOrEqual" allowBlank="1" showInputMessage="1" showErrorMessage="1" errorTitle="Negativt beløb!" error="Der kan ikke indtastes negative beløb i denne celle.&#10;&#10;Indtast et positivt beløb." sqref="G206 G208:G209 G70:G79 G190:G191 G198:G201 G194:G195 G103:G104 G97:G100 E94 F85:G85 G86:G88 G94:G95 G32:G48 E12 H77 G59 G17:G30 G53 G55:G56 F24:F27 F34:F36 G155:G156 G14:G15 G62:G64 G159:G160 G51 G145:G146">
      <formula1>0</formula1>
    </dataValidation>
    <dataValidation operator="greaterThanOrEqual" allowBlank="1" showInputMessage="1" showErrorMessage="1" errorTitle="Negativt beløb!" error="Der kan ikke indtastes negative beløb i denne celle.&#10;&#10;Indtast et positivt beløb." sqref="G101 E89:E93 G157 G31 G49"/>
    <dataValidation type="whole" allowBlank="1" showInputMessage="1" showErrorMessage="1" errorTitle="Overførsel ikke tilladt!" error="Hvis der ønskes beløb overført til konjunkturudligningskonto skal dette minimum udgøre 5.000 kr. og kan højest udgøre 25% af årets skattemæssige resultat.&#10;&#10;Indtast beløb indenfor det givne interval eller Annuller indtastning." sqref="G202">
      <formula1>5000</formula1>
      <formula2>ROUNDUP(G196/4,0)</formula2>
    </dataValidation>
    <dataValidation type="whole" operator="equal" allowBlank="1" showInputMessage="1" showErrorMessage="1" errorTitle="Overført fra konjunkturudligning" error="Det er ikke tilladt at hæve og indskyde på konto for konjunkturudligning vedrørende samme indkomstår." sqref="G203">
      <formula1>IF(G202&gt;0,0,)</formula1>
    </dataValidation>
    <dataValidation type="whole" operator="greaterThanOrEqual" allowBlank="1" showInputMessage="1" showErrorMessage="1" errorTitle="Hævningen er for lav!" error="Summen af årets kapitalafkast og årets virksomhedsskat skal hæves i indkomståret." sqref="G65">
      <formula1>E99+I103</formula1>
    </dataValidation>
    <dataValidation type="whole" allowBlank="1" showInputMessage="1" showErrorMessage="1" errorTitle="Fejl i indtastning!" error="Det indtastede beløb skal være mellem 0 kr. og 3.000 kr." sqref="G52 G69 G205">
      <formula1>0</formula1>
      <formula2>3000</formula2>
    </dataValidation>
    <dataValidation type="whole" allowBlank="1" showInputMessage="1" showErrorMessage="1" errorTitle="Kapitalpension!" error="Beløbet overstiget begrænsningen for fradrag af indbetaling på kapitalpension.&#10;&#10;Hvis overstående ikke er tilfældet er beløbet negativt. Indtast positivt beløb." sqref="G144">
      <formula1>0</formula1>
      <formula2>kap</formula2>
    </dataValidation>
  </dataValidations>
  <printOptions/>
  <pageMargins left="0.984251968503937" right="0.3937007874015748" top="0.3937007874015748" bottom="0.3937007874015748" header="0" footer="0"/>
  <pageSetup fitToHeight="1" fitToWidth="1" horizontalDpi="600" verticalDpi="600" orientation="portrait" paperSize="9" scale="51" r:id="rId3"/>
  <drawing r:id="rId2"/>
  <legacyDrawing r:id="rId1"/>
</worksheet>
</file>

<file path=xl/worksheets/sheet6.xml><?xml version="1.0" encoding="utf-8"?>
<worksheet xmlns="http://schemas.openxmlformats.org/spreadsheetml/2006/main" xmlns:r="http://schemas.openxmlformats.org/officeDocument/2006/relationships">
  <sheetPr codeName="Ark4"/>
  <dimension ref="B2:M111"/>
  <sheetViews>
    <sheetView showGridLines="0" showRowColHeaders="0" workbookViewId="0" topLeftCell="A1">
      <selection activeCell="A1" sqref="A1"/>
    </sheetView>
  </sheetViews>
  <sheetFormatPr defaultColWidth="9.140625" defaultRowHeight="12.75" customHeight="1"/>
  <cols>
    <col min="1" max="2" width="7.7109375" style="38" customWidth="1"/>
    <col min="3" max="3" width="1.7109375" style="38" customWidth="1"/>
    <col min="4" max="4" width="23.7109375" style="38" customWidth="1"/>
    <col min="5" max="5" width="2.7109375" style="38" customWidth="1"/>
    <col min="6" max="6" width="10.7109375" style="38" customWidth="1"/>
    <col min="7" max="7" width="2.7109375" style="38" customWidth="1"/>
    <col min="8" max="8" width="10.7109375" style="38" customWidth="1"/>
    <col min="9" max="9" width="2.7109375" style="38" customWidth="1"/>
    <col min="10" max="10" width="10.7109375" style="38" customWidth="1"/>
    <col min="11" max="11" width="2.7109375" style="38" customWidth="1"/>
    <col min="12" max="12" width="10.7109375" style="38" customWidth="1"/>
    <col min="13" max="16384" width="9.140625" style="38" customWidth="1"/>
  </cols>
  <sheetData>
    <row r="2" spans="2:12" ht="12.75" customHeight="1">
      <c r="B2" s="42"/>
      <c r="C2" s="42"/>
      <c r="D2" s="42"/>
      <c r="E2" s="42"/>
      <c r="F2" s="42"/>
      <c r="G2" s="42"/>
      <c r="H2" s="42"/>
      <c r="I2" s="42"/>
      <c r="J2" s="42"/>
      <c r="K2" s="42"/>
      <c r="L2" s="42"/>
    </row>
    <row r="3" spans="2:12" ht="12.75" customHeight="1">
      <c r="B3" s="42"/>
      <c r="C3" s="42"/>
      <c r="D3" s="42"/>
      <c r="E3" s="42"/>
      <c r="F3" s="42"/>
      <c r="G3" s="42"/>
      <c r="H3" s="42"/>
      <c r="I3" s="42"/>
      <c r="J3" s="42"/>
      <c r="K3" s="42"/>
      <c r="L3" s="42"/>
    </row>
    <row r="4" spans="2:12" ht="12.75" customHeight="1">
      <c r="B4" s="42"/>
      <c r="C4" s="42"/>
      <c r="D4" s="42"/>
      <c r="E4" s="42"/>
      <c r="F4" s="42"/>
      <c r="G4" s="42"/>
      <c r="H4" s="42"/>
      <c r="I4" s="42"/>
      <c r="J4" s="42"/>
      <c r="K4" s="42"/>
      <c r="L4" s="42"/>
    </row>
    <row r="5" spans="2:12" ht="12.75" customHeight="1">
      <c r="B5" s="42"/>
      <c r="C5" s="42"/>
      <c r="D5" s="42"/>
      <c r="E5" s="42"/>
      <c r="F5" s="42"/>
      <c r="G5" s="42"/>
      <c r="H5" s="42"/>
      <c r="I5" s="42"/>
      <c r="J5" s="42"/>
      <c r="K5" s="42"/>
      <c r="L5" s="42"/>
    </row>
    <row r="6" spans="2:12" ht="12.75" customHeight="1">
      <c r="B6" s="42"/>
      <c r="C6" s="42"/>
      <c r="D6" s="42"/>
      <c r="E6" s="42"/>
      <c r="F6" s="42"/>
      <c r="G6" s="42"/>
      <c r="H6" s="42"/>
      <c r="I6" s="42"/>
      <c r="J6" s="42"/>
      <c r="K6" s="42"/>
      <c r="L6" s="42"/>
    </row>
    <row r="7" spans="2:12" ht="12.75" customHeight="1">
      <c r="B7" s="42"/>
      <c r="C7" s="42"/>
      <c r="D7" s="42"/>
      <c r="E7" s="42"/>
      <c r="F7" s="42"/>
      <c r="G7" s="42"/>
      <c r="H7" s="421"/>
      <c r="I7" s="421"/>
      <c r="J7" s="421"/>
      <c r="K7" s="421"/>
      <c r="L7" s="421"/>
    </row>
    <row r="8" spans="2:12" ht="12.75" customHeight="1">
      <c r="B8" s="42"/>
      <c r="C8" s="42"/>
      <c r="D8" s="42"/>
      <c r="E8" s="42"/>
      <c r="F8" s="42"/>
      <c r="G8" s="42"/>
      <c r="H8" s="421"/>
      <c r="I8" s="421"/>
      <c r="J8" s="421"/>
      <c r="K8" s="421"/>
      <c r="L8" s="421"/>
    </row>
    <row r="9" spans="2:12" ht="12.75" customHeight="1">
      <c r="B9" s="42"/>
      <c r="C9" s="42"/>
      <c r="D9" s="42"/>
      <c r="E9" s="42"/>
      <c r="F9" s="42"/>
      <c r="G9" s="42"/>
      <c r="H9" s="421"/>
      <c r="I9" s="421"/>
      <c r="J9" s="421"/>
      <c r="K9" s="421"/>
      <c r="L9" s="421"/>
    </row>
    <row r="10" spans="2:12" ht="12.75" customHeight="1">
      <c r="B10" s="42"/>
      <c r="C10" s="42"/>
      <c r="D10" s="42"/>
      <c r="E10" s="42"/>
      <c r="F10" s="42"/>
      <c r="G10" s="42"/>
      <c r="H10" s="421"/>
      <c r="I10" s="421"/>
      <c r="J10" s="421"/>
      <c r="K10" s="421"/>
      <c r="L10" s="421"/>
    </row>
    <row r="11" spans="2:12" ht="12.75" customHeight="1">
      <c r="B11" s="42"/>
      <c r="C11" s="42"/>
      <c r="D11" s="42"/>
      <c r="E11" s="42"/>
      <c r="F11" s="42"/>
      <c r="G11" s="42"/>
      <c r="H11" s="421"/>
      <c r="I11" s="421"/>
      <c r="J11" s="421"/>
      <c r="K11" s="421"/>
      <c r="L11" s="421"/>
    </row>
    <row r="12" spans="2:12" ht="12.75" customHeight="1">
      <c r="B12" s="42"/>
      <c r="C12" s="42"/>
      <c r="D12" s="42"/>
      <c r="E12" s="42"/>
      <c r="F12" s="42"/>
      <c r="G12" s="42"/>
      <c r="H12" s="421"/>
      <c r="I12" s="421"/>
      <c r="J12" s="421"/>
      <c r="K12" s="421"/>
      <c r="L12" s="421"/>
    </row>
    <row r="13" spans="2:12" ht="12.75" customHeight="1" hidden="1">
      <c r="B13" s="42"/>
      <c r="C13" s="42"/>
      <c r="D13" s="42"/>
      <c r="E13" s="42"/>
      <c r="F13" s="42"/>
      <c r="G13" s="42"/>
      <c r="H13" s="42"/>
      <c r="I13" s="42"/>
      <c r="J13" s="42"/>
      <c r="K13" s="42"/>
      <c r="L13" s="42"/>
    </row>
    <row r="14" spans="2:12" ht="12.75" customHeight="1">
      <c r="B14" s="42"/>
      <c r="C14" s="42"/>
      <c r="D14" s="42"/>
      <c r="E14" s="42"/>
      <c r="F14" s="42"/>
      <c r="G14" s="42"/>
      <c r="H14" s="42"/>
      <c r="I14" s="42"/>
      <c r="J14" s="42"/>
      <c r="K14" s="42"/>
      <c r="L14" s="42"/>
    </row>
    <row r="15" spans="2:12" ht="12.75" customHeight="1">
      <c r="B15" s="42"/>
      <c r="C15" s="42"/>
      <c r="D15" s="42"/>
      <c r="E15" s="42"/>
      <c r="F15" s="42"/>
      <c r="G15" s="42"/>
      <c r="H15" s="42"/>
      <c r="I15" s="42"/>
      <c r="J15" s="42"/>
      <c r="K15" s="42"/>
      <c r="L15" s="42"/>
    </row>
    <row r="16" spans="2:12" ht="12.75" customHeight="1">
      <c r="B16" s="42"/>
      <c r="C16" s="42"/>
      <c r="D16" s="42"/>
      <c r="E16" s="42"/>
      <c r="F16" s="42"/>
      <c r="G16" s="42"/>
      <c r="H16" s="42"/>
      <c r="I16" s="42"/>
      <c r="J16" s="42"/>
      <c r="K16" s="42"/>
      <c r="L16" s="42"/>
    </row>
    <row r="17" spans="2:12" ht="12.75" customHeight="1">
      <c r="B17" s="42"/>
      <c r="C17" s="42"/>
      <c r="D17" s="42"/>
      <c r="E17" s="42"/>
      <c r="F17" s="42"/>
      <c r="G17" s="42"/>
      <c r="H17" s="42"/>
      <c r="I17" s="42"/>
      <c r="J17" s="42"/>
      <c r="K17" s="42"/>
      <c r="L17" s="42"/>
    </row>
    <row r="18" spans="2:12" ht="12.75" customHeight="1">
      <c r="B18" s="42"/>
      <c r="C18" s="42"/>
      <c r="D18" s="42"/>
      <c r="E18" s="42"/>
      <c r="F18" s="42"/>
      <c r="G18" s="42"/>
      <c r="H18" s="42"/>
      <c r="I18" s="42"/>
      <c r="J18" s="42"/>
      <c r="K18" s="42"/>
      <c r="L18" s="42"/>
    </row>
    <row r="19" spans="2:12" ht="12.75" customHeight="1">
      <c r="B19" s="42"/>
      <c r="C19" s="42"/>
      <c r="D19" s="42"/>
      <c r="E19" s="42"/>
      <c r="F19" s="42"/>
      <c r="G19" s="42"/>
      <c r="H19" s="42"/>
      <c r="I19" s="42"/>
      <c r="J19" s="42"/>
      <c r="K19" s="42"/>
      <c r="L19" s="42"/>
    </row>
    <row r="20" spans="2:12" ht="12.75" customHeight="1">
      <c r="B20" s="42"/>
      <c r="C20" s="42"/>
      <c r="D20" s="42"/>
      <c r="E20" s="42"/>
      <c r="F20" s="42"/>
      <c r="G20" s="42"/>
      <c r="H20" s="42"/>
      <c r="I20" s="42"/>
      <c r="J20" s="42"/>
      <c r="K20" s="42"/>
      <c r="L20" s="42"/>
    </row>
    <row r="21" spans="2:12" ht="12.75" customHeight="1">
      <c r="B21" s="42"/>
      <c r="C21" s="42"/>
      <c r="D21" s="42"/>
      <c r="E21" s="42"/>
      <c r="F21" s="42"/>
      <c r="G21" s="42"/>
      <c r="H21" s="42"/>
      <c r="I21" s="42"/>
      <c r="J21" s="42"/>
      <c r="K21" s="42"/>
      <c r="L21" s="42"/>
    </row>
    <row r="22" spans="2:12" ht="12.75" customHeight="1">
      <c r="B22" s="42"/>
      <c r="C22" s="42"/>
      <c r="D22" s="42"/>
      <c r="E22" s="42"/>
      <c r="F22" s="42"/>
      <c r="G22" s="42"/>
      <c r="H22" s="42"/>
      <c r="I22" s="42"/>
      <c r="J22" s="42"/>
      <c r="K22" s="42"/>
      <c r="L22" s="42"/>
    </row>
    <row r="23" spans="2:12" ht="12.75" customHeight="1">
      <c r="B23" s="42"/>
      <c r="C23" s="42"/>
      <c r="D23" s="43"/>
      <c r="E23" s="42"/>
      <c r="F23" s="42"/>
      <c r="G23" s="42"/>
      <c r="H23" s="42"/>
      <c r="I23" s="42"/>
      <c r="J23" s="42"/>
      <c r="K23" s="42"/>
      <c r="L23" s="42"/>
    </row>
    <row r="24" spans="2:12" ht="12.75" customHeight="1">
      <c r="B24" s="42"/>
      <c r="C24" s="42"/>
      <c r="D24" s="42"/>
      <c r="E24" s="42"/>
      <c r="F24" s="42"/>
      <c r="G24" s="42"/>
      <c r="H24" s="42"/>
      <c r="I24" s="42"/>
      <c r="J24" s="42"/>
      <c r="K24" s="42"/>
      <c r="L24" s="42"/>
    </row>
    <row r="25" spans="2:13" ht="25.5" customHeight="1">
      <c r="B25" s="423" t="str">
        <f>fnavn1</f>
        <v>ELSTRØM</v>
      </c>
      <c r="C25" s="424"/>
      <c r="D25" s="424"/>
      <c r="E25" s="424"/>
      <c r="F25" s="424"/>
      <c r="G25" s="424"/>
      <c r="H25" s="424"/>
      <c r="I25" s="424"/>
      <c r="J25" s="424"/>
      <c r="K25" s="424"/>
      <c r="L25" s="424"/>
      <c r="M25" s="39"/>
    </row>
    <row r="26" spans="2:12" ht="25.5" customHeight="1">
      <c r="B26" s="425" t="str">
        <f>CONCATENATE("CVR-nr. ",TEXT(cvr,"0# ## ## ##"))</f>
        <v>CVR-nr. 18 19 20 21</v>
      </c>
      <c r="C26" s="425"/>
      <c r="D26" s="425"/>
      <c r="E26" s="425"/>
      <c r="F26" s="425"/>
      <c r="G26" s="425"/>
      <c r="H26" s="425"/>
      <c r="I26" s="425"/>
      <c r="J26" s="425"/>
      <c r="K26" s="425"/>
      <c r="L26" s="425"/>
    </row>
    <row r="27" spans="2:12" ht="12.75" customHeight="1">
      <c r="B27" s="44"/>
      <c r="C27" s="43"/>
      <c r="D27" s="43"/>
      <c r="E27" s="43"/>
      <c r="F27" s="43"/>
      <c r="G27" s="43"/>
      <c r="H27" s="43"/>
      <c r="I27" s="43"/>
      <c r="J27" s="43"/>
      <c r="K27" s="43"/>
      <c r="L27" s="43"/>
    </row>
    <row r="28" spans="2:12" ht="25.5" customHeight="1">
      <c r="B28" s="423" t="str">
        <f>CONCATENATE("ÅRSRAPPORT ",raa1)</f>
        <v>ÅRSRAPPORT 2004</v>
      </c>
      <c r="C28" s="424"/>
      <c r="D28" s="424"/>
      <c r="E28" s="424"/>
      <c r="F28" s="424"/>
      <c r="G28" s="424"/>
      <c r="H28" s="424"/>
      <c r="I28" s="424"/>
      <c r="J28" s="424"/>
      <c r="K28" s="424"/>
      <c r="L28" s="424"/>
    </row>
    <row r="29" spans="2:12" ht="25.5" customHeight="1">
      <c r="B29" s="425" t="str">
        <f>CONCATENATE(rnr,". regnskabsår")</f>
        <v>1. regnskabsår</v>
      </c>
      <c r="C29" s="425"/>
      <c r="D29" s="425"/>
      <c r="E29" s="425"/>
      <c r="F29" s="425"/>
      <c r="G29" s="425"/>
      <c r="H29" s="425"/>
      <c r="I29" s="425"/>
      <c r="J29" s="425"/>
      <c r="K29" s="425"/>
      <c r="L29" s="425"/>
    </row>
    <row r="30" spans="2:12" ht="12.75" customHeight="1">
      <c r="B30" s="45"/>
      <c r="C30" s="43"/>
      <c r="D30" s="43"/>
      <c r="E30" s="43"/>
      <c r="F30" s="43"/>
      <c r="G30" s="43"/>
      <c r="H30" s="43"/>
      <c r="I30" s="43"/>
      <c r="J30" s="43"/>
      <c r="K30" s="43"/>
      <c r="L30" s="43"/>
    </row>
    <row r="31" spans="2:12" ht="12.75" customHeight="1">
      <c r="B31" s="45"/>
      <c r="C31" s="43"/>
      <c r="D31" s="43"/>
      <c r="E31" s="43"/>
      <c r="F31" s="43"/>
      <c r="G31" s="43"/>
      <c r="H31" s="43"/>
      <c r="I31" s="43"/>
      <c r="J31" s="43"/>
      <c r="K31" s="43"/>
      <c r="L31" s="43"/>
    </row>
    <row r="32" spans="2:12" ht="12.75" customHeight="1">
      <c r="B32" s="45"/>
      <c r="C32" s="43"/>
      <c r="D32" s="43"/>
      <c r="E32" s="43"/>
      <c r="F32" s="43"/>
      <c r="G32" s="43"/>
      <c r="H32" s="43"/>
      <c r="I32" s="43"/>
      <c r="J32" s="43"/>
      <c r="K32" s="43"/>
      <c r="L32" s="43"/>
    </row>
    <row r="33" spans="2:12" ht="12.75" customHeight="1">
      <c r="B33" s="42"/>
      <c r="C33" s="42"/>
      <c r="D33" s="42"/>
      <c r="E33" s="42"/>
      <c r="F33" s="42"/>
      <c r="G33" s="42"/>
      <c r="H33" s="42"/>
      <c r="I33" s="42"/>
      <c r="J33" s="42"/>
      <c r="K33" s="42"/>
      <c r="L33" s="42"/>
    </row>
    <row r="34" spans="2:12" ht="12.75" customHeight="1">
      <c r="B34" s="42"/>
      <c r="C34" s="42"/>
      <c r="D34" s="42"/>
      <c r="E34" s="42"/>
      <c r="F34" s="42"/>
      <c r="G34" s="42"/>
      <c r="H34" s="42"/>
      <c r="I34" s="42"/>
      <c r="J34" s="42"/>
      <c r="K34" s="42"/>
      <c r="L34" s="42"/>
    </row>
    <row r="35" spans="2:12" ht="12.75" customHeight="1">
      <c r="B35" s="42"/>
      <c r="C35" s="42"/>
      <c r="D35" s="42"/>
      <c r="E35" s="42"/>
      <c r="F35" s="42"/>
      <c r="G35" s="42"/>
      <c r="H35" s="42"/>
      <c r="I35" s="42"/>
      <c r="J35" s="42"/>
      <c r="K35" s="42"/>
      <c r="L35" s="42"/>
    </row>
    <row r="36" spans="2:12" ht="12.75" customHeight="1">
      <c r="B36" s="42"/>
      <c r="C36" s="42"/>
      <c r="D36" s="42"/>
      <c r="E36" s="42"/>
      <c r="F36" s="42"/>
      <c r="G36" s="42"/>
      <c r="H36" s="42"/>
      <c r="I36" s="42"/>
      <c r="J36" s="42"/>
      <c r="K36" s="42"/>
      <c r="L36" s="42"/>
    </row>
    <row r="37" spans="2:12" ht="12.75" customHeight="1">
      <c r="B37" s="42"/>
      <c r="C37" s="42"/>
      <c r="D37" s="42"/>
      <c r="E37" s="42"/>
      <c r="F37" s="42"/>
      <c r="G37" s="42"/>
      <c r="H37" s="42"/>
      <c r="I37" s="42"/>
      <c r="J37" s="42"/>
      <c r="K37" s="42"/>
      <c r="L37" s="42"/>
    </row>
    <row r="38" spans="2:12" ht="12.75" customHeight="1">
      <c r="B38" s="42"/>
      <c r="C38" s="42"/>
      <c r="D38" s="42"/>
      <c r="E38" s="42"/>
      <c r="F38" s="42"/>
      <c r="G38" s="42"/>
      <c r="H38" s="42"/>
      <c r="I38" s="42"/>
      <c r="J38" s="42"/>
      <c r="K38" s="42"/>
      <c r="L38" s="42"/>
    </row>
    <row r="39" spans="2:12" ht="12.75" customHeight="1">
      <c r="B39" s="42"/>
      <c r="C39" s="42"/>
      <c r="D39" s="42"/>
      <c r="E39" s="42"/>
      <c r="F39" s="42"/>
      <c r="G39" s="42"/>
      <c r="H39" s="42"/>
      <c r="I39" s="42"/>
      <c r="J39" s="42"/>
      <c r="K39" s="42"/>
      <c r="L39" s="42"/>
    </row>
    <row r="40" spans="2:12" ht="12.75" customHeight="1">
      <c r="B40" s="42"/>
      <c r="C40" s="42"/>
      <c r="D40" s="42"/>
      <c r="E40" s="42"/>
      <c r="F40" s="42"/>
      <c r="G40" s="42"/>
      <c r="H40" s="42"/>
      <c r="I40" s="42"/>
      <c r="J40" s="42"/>
      <c r="K40" s="42"/>
      <c r="L40" s="42"/>
    </row>
    <row r="41" spans="2:12" ht="12.75" customHeight="1">
      <c r="B41" s="42"/>
      <c r="C41" s="42"/>
      <c r="D41" s="42"/>
      <c r="E41" s="42"/>
      <c r="F41" s="42"/>
      <c r="G41" s="42"/>
      <c r="H41" s="42"/>
      <c r="I41" s="42"/>
      <c r="J41" s="42"/>
      <c r="K41" s="42"/>
      <c r="L41" s="42"/>
    </row>
    <row r="42" spans="2:12" ht="12.75" customHeight="1">
      <c r="B42" s="42"/>
      <c r="C42" s="42"/>
      <c r="D42" s="42"/>
      <c r="E42" s="42"/>
      <c r="F42" s="42"/>
      <c r="G42" s="42"/>
      <c r="H42" s="42"/>
      <c r="I42" s="42"/>
      <c r="J42" s="42"/>
      <c r="K42" s="42"/>
      <c r="L42" s="42"/>
    </row>
    <row r="43" spans="2:12" ht="12.75" customHeight="1">
      <c r="B43" s="42"/>
      <c r="C43" s="42"/>
      <c r="D43" s="42"/>
      <c r="E43" s="42"/>
      <c r="F43" s="42"/>
      <c r="G43" s="42"/>
      <c r="H43" s="42"/>
      <c r="I43" s="42"/>
      <c r="J43" s="42"/>
      <c r="K43" s="42"/>
      <c r="L43" s="42"/>
    </row>
    <row r="44" spans="2:12" ht="12.75" customHeight="1">
      <c r="B44" s="42"/>
      <c r="C44" s="42"/>
      <c r="D44" s="42"/>
      <c r="E44" s="42"/>
      <c r="F44" s="42"/>
      <c r="G44" s="42"/>
      <c r="H44" s="42"/>
      <c r="I44" s="42"/>
      <c r="J44" s="42"/>
      <c r="K44" s="42"/>
      <c r="L44" s="42"/>
    </row>
    <row r="45" spans="2:12" ht="12.75" customHeight="1">
      <c r="B45" s="42"/>
      <c r="C45" s="42"/>
      <c r="D45" s="42"/>
      <c r="E45" s="42"/>
      <c r="F45" s="42"/>
      <c r="G45" s="42"/>
      <c r="H45" s="42"/>
      <c r="I45" s="42"/>
      <c r="J45" s="42"/>
      <c r="K45" s="42"/>
      <c r="L45" s="42"/>
    </row>
    <row r="46" spans="2:12" ht="12.75" customHeight="1">
      <c r="B46" s="42"/>
      <c r="C46" s="42"/>
      <c r="D46" s="42"/>
      <c r="E46" s="42"/>
      <c r="F46" s="42"/>
      <c r="G46" s="42"/>
      <c r="H46" s="42"/>
      <c r="I46" s="42"/>
      <c r="J46" s="42"/>
      <c r="K46" s="42"/>
      <c r="L46" s="42"/>
    </row>
    <row r="47" spans="2:12" ht="12.75" customHeight="1">
      <c r="B47" s="42"/>
      <c r="C47" s="42"/>
      <c r="D47" s="42"/>
      <c r="E47" s="42"/>
      <c r="F47" s="42"/>
      <c r="G47" s="42"/>
      <c r="H47" s="42"/>
      <c r="I47" s="42"/>
      <c r="J47" s="42"/>
      <c r="K47" s="42"/>
      <c r="L47" s="42"/>
    </row>
    <row r="48" spans="2:12" ht="12.75" customHeight="1">
      <c r="B48" s="42"/>
      <c r="C48" s="42"/>
      <c r="D48" s="42"/>
      <c r="E48" s="42"/>
      <c r="F48" s="42"/>
      <c r="G48" s="42"/>
      <c r="H48" s="42"/>
      <c r="I48" s="42"/>
      <c r="J48" s="42"/>
      <c r="K48" s="42"/>
      <c r="L48" s="42"/>
    </row>
    <row r="49" spans="2:12" ht="12.75" customHeight="1">
      <c r="B49" s="421"/>
      <c r="C49" s="422"/>
      <c r="D49" s="422"/>
      <c r="E49" s="422"/>
      <c r="F49" s="422"/>
      <c r="G49" s="422"/>
      <c r="H49" s="422"/>
      <c r="I49" s="422"/>
      <c r="J49" s="422"/>
      <c r="K49" s="422"/>
      <c r="L49" s="422"/>
    </row>
    <row r="50" spans="2:12" ht="12.75" customHeight="1">
      <c r="B50" s="422"/>
      <c r="C50" s="422"/>
      <c r="D50" s="422"/>
      <c r="E50" s="422"/>
      <c r="F50" s="422"/>
      <c r="G50" s="422"/>
      <c r="H50" s="422"/>
      <c r="I50" s="422"/>
      <c r="J50" s="422"/>
      <c r="K50" s="422"/>
      <c r="L50" s="422"/>
    </row>
    <row r="51" spans="2:12" ht="12.75" customHeight="1">
      <c r="B51" s="422"/>
      <c r="C51" s="422"/>
      <c r="D51" s="422"/>
      <c r="E51" s="422"/>
      <c r="F51" s="422"/>
      <c r="G51" s="422"/>
      <c r="H51" s="422"/>
      <c r="I51" s="422"/>
      <c r="J51" s="422"/>
      <c r="K51" s="422"/>
      <c r="L51" s="422"/>
    </row>
    <row r="52" spans="2:12" ht="12.75" customHeight="1">
      <c r="B52" s="42"/>
      <c r="C52" s="42"/>
      <c r="D52" s="42"/>
      <c r="E52" s="42"/>
      <c r="F52" s="42"/>
      <c r="G52" s="42"/>
      <c r="H52" s="42"/>
      <c r="I52" s="42"/>
      <c r="J52" s="42"/>
      <c r="K52" s="42"/>
      <c r="L52" s="42"/>
    </row>
    <row r="53" spans="2:12" ht="12.75" customHeight="1">
      <c r="B53" s="42"/>
      <c r="C53" s="42"/>
      <c r="D53" s="42"/>
      <c r="E53" s="42"/>
      <c r="F53" s="42"/>
      <c r="G53" s="42"/>
      <c r="H53" s="42"/>
      <c r="I53" s="42"/>
      <c r="J53" s="42"/>
      <c r="K53" s="42"/>
      <c r="L53" s="42"/>
    </row>
    <row r="54" spans="2:12" ht="12.75" customHeight="1">
      <c r="B54" s="42"/>
      <c r="C54" s="42"/>
      <c r="D54" s="42"/>
      <c r="E54" s="42"/>
      <c r="F54" s="42"/>
      <c r="G54" s="42"/>
      <c r="H54" s="42"/>
      <c r="I54" s="42"/>
      <c r="J54" s="42"/>
      <c r="K54" s="42"/>
      <c r="L54" s="42"/>
    </row>
    <row r="55" spans="2:12" ht="12.75" customHeight="1">
      <c r="B55" s="42"/>
      <c r="C55" s="42"/>
      <c r="D55" s="42"/>
      <c r="E55" s="42"/>
      <c r="F55" s="42"/>
      <c r="G55" s="42"/>
      <c r="H55" s="42"/>
      <c r="I55" s="42"/>
      <c r="J55" s="42"/>
      <c r="K55" s="42"/>
      <c r="L55" s="42"/>
    </row>
    <row r="56" spans="2:12" ht="12.75" customHeight="1">
      <c r="B56" s="42"/>
      <c r="C56" s="42"/>
      <c r="D56" s="42"/>
      <c r="E56" s="42"/>
      <c r="F56" s="42"/>
      <c r="G56" s="42"/>
      <c r="H56" s="42"/>
      <c r="I56" s="42"/>
      <c r="J56" s="42"/>
      <c r="K56" s="42"/>
      <c r="L56" s="42"/>
    </row>
    <row r="57" spans="2:12" ht="12.75" customHeight="1">
      <c r="B57" s="42"/>
      <c r="C57" s="42"/>
      <c r="D57" s="42"/>
      <c r="E57" s="42"/>
      <c r="F57" s="42"/>
      <c r="G57" s="42"/>
      <c r="H57" s="42"/>
      <c r="I57" s="42"/>
      <c r="J57" s="42"/>
      <c r="K57" s="42"/>
      <c r="L57" s="42"/>
    </row>
    <row r="58" spans="2:12" ht="12.75" customHeight="1">
      <c r="B58" s="42"/>
      <c r="C58" s="42"/>
      <c r="D58" s="42"/>
      <c r="E58" s="42"/>
      <c r="F58" s="42"/>
      <c r="G58" s="42"/>
      <c r="H58" s="42"/>
      <c r="I58" s="42"/>
      <c r="J58" s="42"/>
      <c r="K58" s="42"/>
      <c r="L58" s="42"/>
    </row>
    <row r="59" spans="2:12" ht="12.75" customHeight="1">
      <c r="B59" s="42"/>
      <c r="C59" s="42"/>
      <c r="D59" s="42"/>
      <c r="E59" s="42"/>
      <c r="F59" s="42"/>
      <c r="G59" s="42"/>
      <c r="H59" s="42"/>
      <c r="I59" s="42"/>
      <c r="J59" s="42"/>
      <c r="K59" s="42"/>
      <c r="L59" s="42"/>
    </row>
    <row r="60" spans="2:12" ht="12.75" customHeight="1">
      <c r="B60" s="42"/>
      <c r="C60" s="42"/>
      <c r="D60" s="42"/>
      <c r="E60" s="42"/>
      <c r="F60" s="42"/>
      <c r="G60" s="42"/>
      <c r="H60" s="42"/>
      <c r="I60" s="42"/>
      <c r="J60" s="42"/>
      <c r="K60" s="42"/>
      <c r="L60" s="42"/>
    </row>
    <row r="61" spans="2:13" ht="12.75" customHeight="1">
      <c r="B61" s="46"/>
      <c r="C61" s="46"/>
      <c r="D61" s="46"/>
      <c r="E61" s="46"/>
      <c r="F61" s="46"/>
      <c r="G61" s="46"/>
      <c r="H61" s="46"/>
      <c r="I61" s="46"/>
      <c r="J61" s="47"/>
      <c r="K61" s="46"/>
      <c r="L61" s="46"/>
      <c r="M61" s="40"/>
    </row>
    <row r="62" spans="2:13" ht="12.75" customHeight="1">
      <c r="B62" s="46"/>
      <c r="C62" s="46"/>
      <c r="D62" s="46"/>
      <c r="E62" s="46"/>
      <c r="F62" s="46"/>
      <c r="G62" s="46"/>
      <c r="H62" s="46"/>
      <c r="I62" s="46"/>
      <c r="J62" s="47"/>
      <c r="K62" s="46"/>
      <c r="L62" s="46"/>
      <c r="M62" s="40"/>
    </row>
    <row r="63" spans="2:13" ht="12.75" customHeight="1">
      <c r="B63" s="46"/>
      <c r="C63" s="46"/>
      <c r="D63" s="46"/>
      <c r="E63" s="46"/>
      <c r="F63" s="46"/>
      <c r="G63" s="46"/>
      <c r="H63" s="46"/>
      <c r="I63" s="46"/>
      <c r="J63" s="47"/>
      <c r="K63" s="46"/>
      <c r="L63" s="46"/>
      <c r="M63" s="40"/>
    </row>
    <row r="64" spans="2:13" ht="39" customHeight="1">
      <c r="B64" s="52" t="s">
        <v>63</v>
      </c>
      <c r="C64" s="48"/>
      <c r="D64" s="48"/>
      <c r="E64" s="48"/>
      <c r="F64" s="48"/>
      <c r="G64" s="48"/>
      <c r="H64" s="48"/>
      <c r="I64" s="48"/>
      <c r="J64" s="49"/>
      <c r="K64" s="48"/>
      <c r="L64" s="48"/>
      <c r="M64" s="40"/>
    </row>
    <row r="65" spans="2:13" ht="12.75" customHeight="1">
      <c r="B65" s="42"/>
      <c r="C65" s="46"/>
      <c r="D65" s="46"/>
      <c r="E65" s="46"/>
      <c r="F65" s="46"/>
      <c r="G65" s="46"/>
      <c r="H65" s="46"/>
      <c r="I65" s="46"/>
      <c r="J65" s="47"/>
      <c r="K65" s="46"/>
      <c r="L65" s="46"/>
      <c r="M65" s="40"/>
    </row>
    <row r="66" spans="2:13" ht="12.75" customHeight="1">
      <c r="B66" s="46"/>
      <c r="C66" s="46"/>
      <c r="D66" s="46"/>
      <c r="E66" s="46"/>
      <c r="F66" s="46"/>
      <c r="G66" s="46"/>
      <c r="H66" s="46"/>
      <c r="I66" s="46"/>
      <c r="J66" s="47"/>
      <c r="K66" s="46"/>
      <c r="L66" s="46"/>
      <c r="M66" s="40"/>
    </row>
    <row r="67" spans="2:13" ht="12.75" customHeight="1">
      <c r="B67" s="46"/>
      <c r="C67" s="46"/>
      <c r="D67" s="46"/>
      <c r="E67" s="46"/>
      <c r="F67" s="46"/>
      <c r="G67" s="46"/>
      <c r="H67" s="46"/>
      <c r="I67" s="46"/>
      <c r="J67" s="47"/>
      <c r="K67" s="46"/>
      <c r="L67" s="46"/>
      <c r="M67" s="40"/>
    </row>
    <row r="68" spans="2:13" ht="12.75" customHeight="1">
      <c r="B68" s="46"/>
      <c r="C68" s="46"/>
      <c r="D68" s="46"/>
      <c r="E68" s="46"/>
      <c r="F68" s="46"/>
      <c r="G68" s="46"/>
      <c r="H68" s="46"/>
      <c r="I68" s="46"/>
      <c r="J68" s="47"/>
      <c r="K68" s="46"/>
      <c r="L68" s="46"/>
      <c r="M68" s="40"/>
    </row>
    <row r="69" spans="2:13" ht="15" customHeight="1">
      <c r="B69" s="69" t="s">
        <v>120</v>
      </c>
      <c r="C69" s="61"/>
      <c r="D69" s="61"/>
      <c r="E69" s="61"/>
      <c r="F69" s="61"/>
      <c r="G69" s="61"/>
      <c r="H69" s="61"/>
      <c r="I69" s="61"/>
      <c r="J69" s="61"/>
      <c r="K69" s="61"/>
      <c r="L69" s="46"/>
      <c r="M69" s="40"/>
    </row>
    <row r="70" spans="2:13" ht="15" customHeight="1">
      <c r="B70" s="68" t="str">
        <f>IF(aps=TRUE,(Programdata!J19),IF(aps=FALSE,(Programdata!G19),fejl))</f>
        <v>Indehaverens påtegning</v>
      </c>
      <c r="C70" s="68"/>
      <c r="D70" s="68"/>
      <c r="E70" s="68"/>
      <c r="F70" s="68"/>
      <c r="G70" s="68"/>
      <c r="H70" s="68"/>
      <c r="I70" s="68"/>
      <c r="J70" s="68"/>
      <c r="K70" s="71">
        <f>sideåpåt</f>
        <v>1</v>
      </c>
      <c r="L70" s="50"/>
      <c r="M70" s="41"/>
    </row>
    <row r="71" spans="2:13" ht="15" customHeight="1" hidden="1">
      <c r="B71" s="68" t="s">
        <v>119</v>
      </c>
      <c r="C71" s="68"/>
      <c r="D71" s="68"/>
      <c r="E71" s="68"/>
      <c r="F71" s="68"/>
      <c r="G71" s="68"/>
      <c r="H71" s="68"/>
      <c r="I71" s="68"/>
      <c r="J71" s="68"/>
      <c r="K71" s="71">
        <f>sideårpåt</f>
        <v>2</v>
      </c>
      <c r="L71" s="50"/>
      <c r="M71" s="41"/>
    </row>
    <row r="72" spans="2:13" ht="15" customHeight="1">
      <c r="B72" s="46"/>
      <c r="C72" s="46"/>
      <c r="D72" s="46"/>
      <c r="E72" s="46"/>
      <c r="F72" s="46"/>
      <c r="G72" s="46"/>
      <c r="H72" s="46"/>
      <c r="I72" s="46"/>
      <c r="J72" s="47"/>
      <c r="K72" s="46"/>
      <c r="L72" s="46"/>
      <c r="M72" s="40"/>
    </row>
    <row r="73" spans="2:13" ht="15" customHeight="1">
      <c r="B73" s="61" t="s">
        <v>116</v>
      </c>
      <c r="C73" s="61"/>
      <c r="D73" s="61"/>
      <c r="E73" s="61"/>
      <c r="F73" s="61"/>
      <c r="G73" s="61"/>
      <c r="H73" s="61"/>
      <c r="I73" s="61"/>
      <c r="J73" s="61"/>
      <c r="K73" s="61"/>
      <c r="L73" s="50"/>
      <c r="M73" s="41"/>
    </row>
    <row r="74" spans="2:13" ht="15" customHeight="1">
      <c r="B74" s="68" t="str">
        <f>IF(aps=TRUE,PROPER(Virkopl!B5),IF(aps=FALSE,PROPER(Virkopl!B5),fejl))</f>
        <v>Virksomhedsoplysninger</v>
      </c>
      <c r="C74" s="68"/>
      <c r="D74" s="68"/>
      <c r="E74" s="68"/>
      <c r="F74" s="68"/>
      <c r="G74" s="68"/>
      <c r="H74" s="68"/>
      <c r="I74" s="68"/>
      <c r="J74" s="68"/>
      <c r="K74" s="71">
        <f>sidevirkopl</f>
        <v>2</v>
      </c>
      <c r="L74" s="50"/>
      <c r="M74" s="41"/>
    </row>
    <row r="75" spans="2:13" ht="15" customHeight="1">
      <c r="B75" s="68" t="str">
        <f>IF(aps=TRUE,PROPER(Programdata!J21),IF(aps=FALSE,PROPER(Programdata!G21),fejl))</f>
        <v>Ledelsesberetning</v>
      </c>
      <c r="C75" s="68"/>
      <c r="D75" s="68"/>
      <c r="E75" s="68"/>
      <c r="F75" s="68"/>
      <c r="G75" s="68"/>
      <c r="H75" s="68"/>
      <c r="I75" s="68"/>
      <c r="J75" s="68"/>
      <c r="K75" s="71">
        <f>sideåårsb</f>
        <v>3</v>
      </c>
      <c r="L75" s="50"/>
      <c r="M75" s="41"/>
    </row>
    <row r="76" spans="2:13" ht="15" customHeight="1">
      <c r="B76" s="70"/>
      <c r="C76" s="50"/>
      <c r="D76" s="50"/>
      <c r="E76" s="50"/>
      <c r="F76" s="50"/>
      <c r="G76" s="50"/>
      <c r="H76" s="50"/>
      <c r="I76" s="50"/>
      <c r="J76" s="50"/>
      <c r="K76" s="50"/>
      <c r="L76" s="50"/>
      <c r="M76" s="41"/>
    </row>
    <row r="77" spans="2:13" ht="15" customHeight="1">
      <c r="B77" s="61" t="str">
        <f>"Årsregnskab "&amp;rperiode&amp;" "&amp;raa1</f>
        <v>Årsregnskab 1. januar - 31. december 2004</v>
      </c>
      <c r="C77" s="50"/>
      <c r="D77" s="50"/>
      <c r="E77" s="50"/>
      <c r="F77" s="50"/>
      <c r="G77" s="50"/>
      <c r="H77" s="47"/>
      <c r="I77" s="50"/>
      <c r="J77" s="47"/>
      <c r="K77" s="50"/>
      <c r="L77" s="50"/>
      <c r="M77" s="41"/>
    </row>
    <row r="78" spans="2:13" ht="15" customHeight="1">
      <c r="B78" s="92" t="s">
        <v>183</v>
      </c>
      <c r="C78" s="50"/>
      <c r="D78" s="50"/>
      <c r="E78" s="50"/>
      <c r="F78" s="50"/>
      <c r="G78" s="50"/>
      <c r="H78" s="47"/>
      <c r="I78" s="50"/>
      <c r="J78" s="47"/>
      <c r="K78" s="50">
        <f>sideårprak</f>
        <v>4</v>
      </c>
      <c r="L78" s="50"/>
      <c r="M78" s="41"/>
    </row>
    <row r="79" spans="2:13" ht="15" customHeight="1">
      <c r="B79" s="68" t="s">
        <v>121</v>
      </c>
      <c r="C79" s="50"/>
      <c r="D79" s="50"/>
      <c r="E79" s="50"/>
      <c r="F79" s="50"/>
      <c r="G79" s="50"/>
      <c r="H79" s="50"/>
      <c r="I79" s="50"/>
      <c r="J79" s="50"/>
      <c r="K79" s="50">
        <f>sideregn</f>
        <v>7</v>
      </c>
      <c r="L79" s="50"/>
      <c r="M79" s="41"/>
    </row>
    <row r="80" spans="2:13" ht="15" customHeight="1">
      <c r="B80" s="60" t="s">
        <v>122</v>
      </c>
      <c r="C80" s="50"/>
      <c r="D80" s="50"/>
      <c r="E80" s="50"/>
      <c r="F80" s="50"/>
      <c r="G80" s="50"/>
      <c r="H80" s="47"/>
      <c r="I80" s="50"/>
      <c r="J80" s="47"/>
      <c r="K80" s="50">
        <f>sidebal</f>
        <v>8</v>
      </c>
      <c r="L80" s="50"/>
      <c r="M80" s="41"/>
    </row>
    <row r="81" spans="2:13" ht="15" customHeight="1">
      <c r="B81" s="60" t="s">
        <v>123</v>
      </c>
      <c r="C81" s="50"/>
      <c r="D81" s="50"/>
      <c r="E81" s="50"/>
      <c r="F81" s="50"/>
      <c r="G81" s="50"/>
      <c r="H81" s="47"/>
      <c r="I81" s="50"/>
      <c r="J81" s="47"/>
      <c r="K81" s="50">
        <f>sidenoter</f>
        <v>10</v>
      </c>
      <c r="L81" s="50"/>
      <c r="M81" s="41"/>
    </row>
    <row r="82" spans="2:13" ht="15" customHeight="1">
      <c r="B82" s="70"/>
      <c r="C82" s="50"/>
      <c r="D82" s="50"/>
      <c r="E82" s="50"/>
      <c r="F82" s="50"/>
      <c r="G82" s="50"/>
      <c r="H82" s="50"/>
      <c r="I82" s="50"/>
      <c r="J82" s="50"/>
      <c r="K82" s="50"/>
      <c r="L82" s="50"/>
      <c r="M82" s="41"/>
    </row>
    <row r="83" spans="2:13" ht="15" customHeight="1">
      <c r="B83" s="50"/>
      <c r="C83" s="50"/>
      <c r="D83" s="50"/>
      <c r="E83" s="50"/>
      <c r="F83" s="50"/>
      <c r="G83" s="50"/>
      <c r="H83" s="47"/>
      <c r="I83" s="50"/>
      <c r="J83" s="47"/>
      <c r="K83" s="50"/>
      <c r="L83" s="50"/>
      <c r="M83" s="41"/>
    </row>
    <row r="84" spans="2:13" ht="15" customHeight="1">
      <c r="B84" s="50"/>
      <c r="C84" s="50"/>
      <c r="D84" s="50"/>
      <c r="E84" s="50"/>
      <c r="F84" s="50"/>
      <c r="G84" s="50"/>
      <c r="H84" s="47"/>
      <c r="I84" s="50"/>
      <c r="J84" s="47"/>
      <c r="K84" s="50"/>
      <c r="L84" s="50"/>
      <c r="M84" s="41"/>
    </row>
    <row r="85" spans="2:13" ht="15" customHeight="1">
      <c r="B85" s="70"/>
      <c r="C85" s="50"/>
      <c r="D85" s="50"/>
      <c r="E85" s="50"/>
      <c r="F85" s="50"/>
      <c r="G85" s="50"/>
      <c r="H85" s="50"/>
      <c r="I85" s="50"/>
      <c r="J85" s="50"/>
      <c r="K85" s="50"/>
      <c r="L85" s="50"/>
      <c r="M85" s="41"/>
    </row>
    <row r="86" spans="2:13" ht="15" customHeight="1">
      <c r="B86" s="50"/>
      <c r="C86" s="50"/>
      <c r="D86" s="50"/>
      <c r="E86" s="50"/>
      <c r="F86" s="50"/>
      <c r="G86" s="50"/>
      <c r="H86" s="47"/>
      <c r="I86" s="50"/>
      <c r="J86" s="47"/>
      <c r="K86" s="50"/>
      <c r="L86" s="50"/>
      <c r="M86" s="41"/>
    </row>
    <row r="87" spans="2:13" ht="15" customHeight="1">
      <c r="B87" s="50"/>
      <c r="C87" s="50"/>
      <c r="D87" s="50"/>
      <c r="E87" s="50"/>
      <c r="F87" s="50"/>
      <c r="G87" s="50"/>
      <c r="H87" s="47"/>
      <c r="I87" s="50"/>
      <c r="J87" s="47"/>
      <c r="K87" s="50"/>
      <c r="L87" s="50"/>
      <c r="M87" s="41"/>
    </row>
    <row r="88" spans="2:13" ht="15" customHeight="1">
      <c r="B88" s="70"/>
      <c r="C88" s="70"/>
      <c r="D88" s="70"/>
      <c r="E88" s="70"/>
      <c r="F88" s="70"/>
      <c r="G88" s="70"/>
      <c r="H88" s="70"/>
      <c r="I88" s="70"/>
      <c r="J88" s="70"/>
      <c r="K88" s="70"/>
      <c r="L88" s="50"/>
      <c r="M88" s="41"/>
    </row>
    <row r="89" spans="2:13" ht="15" customHeight="1">
      <c r="B89" s="46"/>
      <c r="C89" s="46"/>
      <c r="D89" s="46"/>
      <c r="E89" s="46"/>
      <c r="F89" s="46"/>
      <c r="G89" s="46"/>
      <c r="H89" s="46"/>
      <c r="I89" s="46"/>
      <c r="J89" s="47"/>
      <c r="K89" s="46"/>
      <c r="L89" s="46"/>
      <c r="M89" s="40"/>
    </row>
    <row r="90" spans="2:13" ht="15" customHeight="1">
      <c r="B90" s="46"/>
      <c r="C90" s="46"/>
      <c r="D90" s="46"/>
      <c r="E90" s="46"/>
      <c r="F90" s="46"/>
      <c r="G90" s="46"/>
      <c r="H90" s="46"/>
      <c r="I90" s="46"/>
      <c r="J90" s="47"/>
      <c r="K90" s="46"/>
      <c r="L90" s="46"/>
      <c r="M90" s="40"/>
    </row>
    <row r="91" spans="2:13" ht="15" customHeight="1">
      <c r="B91" s="46"/>
      <c r="C91" s="46"/>
      <c r="D91" s="46"/>
      <c r="E91" s="46"/>
      <c r="F91" s="46"/>
      <c r="G91" s="46"/>
      <c r="H91" s="46"/>
      <c r="I91" s="46"/>
      <c r="J91" s="47"/>
      <c r="K91" s="46"/>
      <c r="L91" s="46"/>
      <c r="M91" s="40"/>
    </row>
    <row r="92" spans="2:13" ht="15" customHeight="1">
      <c r="B92" s="46"/>
      <c r="C92" s="46"/>
      <c r="D92" s="46"/>
      <c r="E92" s="46"/>
      <c r="F92" s="46"/>
      <c r="G92" s="46"/>
      <c r="H92" s="46"/>
      <c r="I92" s="46"/>
      <c r="J92" s="47"/>
      <c r="K92" s="46"/>
      <c r="L92" s="46"/>
      <c r="M92" s="40"/>
    </row>
    <row r="93" spans="2:13" ht="15" customHeight="1">
      <c r="B93" s="46"/>
      <c r="C93" s="46"/>
      <c r="D93" s="46"/>
      <c r="E93" s="46"/>
      <c r="F93" s="46"/>
      <c r="G93" s="46"/>
      <c r="H93" s="46"/>
      <c r="I93" s="46"/>
      <c r="J93" s="47"/>
      <c r="K93" s="46"/>
      <c r="L93" s="46"/>
      <c r="M93" s="40"/>
    </row>
    <row r="94" spans="2:13" ht="15" customHeight="1">
      <c r="B94" s="46"/>
      <c r="C94" s="46"/>
      <c r="D94" s="46"/>
      <c r="E94" s="46"/>
      <c r="F94" s="46"/>
      <c r="G94" s="46"/>
      <c r="H94" s="46"/>
      <c r="I94" s="46"/>
      <c r="J94" s="47"/>
      <c r="K94" s="46"/>
      <c r="L94" s="46"/>
      <c r="M94" s="40"/>
    </row>
    <row r="95" spans="2:13" ht="15" customHeight="1">
      <c r="B95" s="46"/>
      <c r="C95" s="46"/>
      <c r="D95" s="46"/>
      <c r="E95" s="46"/>
      <c r="F95" s="46"/>
      <c r="G95" s="46"/>
      <c r="H95" s="46"/>
      <c r="I95" s="46"/>
      <c r="J95" s="47"/>
      <c r="K95" s="46"/>
      <c r="L95" s="46"/>
      <c r="M95" s="40"/>
    </row>
    <row r="96" spans="2:13" ht="15" customHeight="1">
      <c r="B96" s="46"/>
      <c r="C96" s="46"/>
      <c r="D96" s="46"/>
      <c r="E96" s="46"/>
      <c r="F96" s="46"/>
      <c r="G96" s="46"/>
      <c r="H96" s="46"/>
      <c r="I96" s="46"/>
      <c r="J96" s="47"/>
      <c r="K96" s="46"/>
      <c r="L96" s="46"/>
      <c r="M96" s="40"/>
    </row>
    <row r="97" spans="2:13" ht="15" customHeight="1">
      <c r="B97" s="46"/>
      <c r="C97" s="46"/>
      <c r="D97" s="46"/>
      <c r="E97" s="46"/>
      <c r="F97" s="46"/>
      <c r="G97" s="46"/>
      <c r="H97" s="46"/>
      <c r="I97" s="46"/>
      <c r="J97" s="47"/>
      <c r="K97" s="46"/>
      <c r="L97" s="46"/>
      <c r="M97" s="40"/>
    </row>
    <row r="98" spans="2:13" ht="15" customHeight="1">
      <c r="B98" s="46"/>
      <c r="C98" s="46"/>
      <c r="D98" s="46"/>
      <c r="E98" s="46"/>
      <c r="F98" s="46"/>
      <c r="G98" s="46"/>
      <c r="H98" s="46"/>
      <c r="I98" s="46"/>
      <c r="J98" s="47"/>
      <c r="K98" s="46"/>
      <c r="L98" s="46"/>
      <c r="M98" s="40"/>
    </row>
    <row r="99" spans="2:12" ht="15" customHeight="1">
      <c r="B99" s="42"/>
      <c r="C99" s="42"/>
      <c r="D99" s="42"/>
      <c r="E99" s="42"/>
      <c r="F99" s="42"/>
      <c r="G99" s="42"/>
      <c r="H99" s="42"/>
      <c r="I99" s="42"/>
      <c r="J99" s="42"/>
      <c r="K99" s="42"/>
      <c r="L99" s="42"/>
    </row>
    <row r="100" spans="2:12" ht="15" customHeight="1">
      <c r="B100" s="42"/>
      <c r="C100" s="42"/>
      <c r="D100" s="42"/>
      <c r="E100" s="42"/>
      <c r="F100" s="42"/>
      <c r="G100" s="42"/>
      <c r="H100" s="42"/>
      <c r="I100" s="42"/>
      <c r="J100" s="42"/>
      <c r="K100" s="42"/>
      <c r="L100" s="42"/>
    </row>
    <row r="101" spans="2:12" ht="15" customHeight="1">
      <c r="B101" s="42"/>
      <c r="C101" s="42"/>
      <c r="D101" s="42"/>
      <c r="E101" s="42"/>
      <c r="F101" s="42"/>
      <c r="G101" s="42"/>
      <c r="H101" s="42"/>
      <c r="I101" s="42"/>
      <c r="J101" s="42"/>
      <c r="K101" s="42"/>
      <c r="L101" s="42"/>
    </row>
    <row r="102" spans="2:12" ht="15" customHeight="1">
      <c r="B102" s="42"/>
      <c r="C102" s="42"/>
      <c r="D102" s="42"/>
      <c r="E102" s="42"/>
      <c r="F102" s="42"/>
      <c r="G102" s="42"/>
      <c r="H102" s="42"/>
      <c r="I102" s="42"/>
      <c r="J102" s="42"/>
      <c r="K102" s="42"/>
      <c r="L102" s="42"/>
    </row>
    <row r="103" spans="2:12" ht="15" customHeight="1">
      <c r="B103" s="42"/>
      <c r="C103" s="42"/>
      <c r="D103" s="42"/>
      <c r="E103" s="42"/>
      <c r="F103" s="42"/>
      <c r="G103" s="42"/>
      <c r="H103" s="42"/>
      <c r="I103" s="42"/>
      <c r="J103" s="42"/>
      <c r="K103" s="42"/>
      <c r="L103" s="42"/>
    </row>
    <row r="104" spans="2:12" ht="15" customHeight="1">
      <c r="B104" s="42"/>
      <c r="C104" s="42"/>
      <c r="D104" s="42"/>
      <c r="E104" s="42"/>
      <c r="F104" s="42"/>
      <c r="G104" s="42"/>
      <c r="H104" s="42"/>
      <c r="I104" s="42"/>
      <c r="J104" s="42"/>
      <c r="K104" s="42"/>
      <c r="L104" s="42"/>
    </row>
    <row r="105" spans="2:12" ht="15" customHeight="1">
      <c r="B105" s="42"/>
      <c r="C105" s="42"/>
      <c r="D105" s="42"/>
      <c r="E105" s="42"/>
      <c r="F105" s="42"/>
      <c r="G105" s="42"/>
      <c r="H105" s="42"/>
      <c r="I105" s="42"/>
      <c r="J105" s="42"/>
      <c r="K105" s="42"/>
      <c r="L105" s="42"/>
    </row>
    <row r="106" spans="2:12" ht="15" customHeight="1">
      <c r="B106" s="42"/>
      <c r="C106" s="42"/>
      <c r="D106" s="42"/>
      <c r="E106" s="42"/>
      <c r="F106" s="42"/>
      <c r="G106" s="42"/>
      <c r="H106" s="42"/>
      <c r="I106" s="42"/>
      <c r="J106" s="42"/>
      <c r="K106" s="42"/>
      <c r="L106" s="42"/>
    </row>
    <row r="107" spans="2:12" ht="15" customHeight="1">
      <c r="B107" s="42"/>
      <c r="C107" s="42"/>
      <c r="D107" s="42"/>
      <c r="E107" s="42"/>
      <c r="F107" s="42"/>
      <c r="G107" s="42"/>
      <c r="H107" s="42"/>
      <c r="I107" s="42"/>
      <c r="J107" s="42"/>
      <c r="K107" s="42"/>
      <c r="L107" s="42"/>
    </row>
    <row r="108" spans="2:12" ht="15" customHeight="1">
      <c r="B108" s="42"/>
      <c r="C108" s="42"/>
      <c r="D108" s="42"/>
      <c r="E108" s="42"/>
      <c r="F108" s="42"/>
      <c r="G108" s="42"/>
      <c r="H108" s="42"/>
      <c r="I108" s="42"/>
      <c r="J108" s="42"/>
      <c r="K108" s="42"/>
      <c r="L108" s="42"/>
    </row>
    <row r="109" spans="2:12" ht="15" customHeight="1">
      <c r="B109" s="42"/>
      <c r="C109" s="42"/>
      <c r="D109" s="42"/>
      <c r="E109" s="42"/>
      <c r="F109" s="42"/>
      <c r="G109" s="42"/>
      <c r="H109" s="42"/>
      <c r="I109" s="42"/>
      <c r="J109" s="42"/>
      <c r="K109" s="42"/>
      <c r="L109" s="42"/>
    </row>
    <row r="110" spans="2:12" ht="15" customHeight="1">
      <c r="B110" s="42"/>
      <c r="C110" s="42"/>
      <c r="D110" s="42"/>
      <c r="E110" s="42"/>
      <c r="F110" s="42"/>
      <c r="G110" s="42"/>
      <c r="H110" s="42"/>
      <c r="I110" s="42"/>
      <c r="J110" s="42"/>
      <c r="K110" s="42"/>
      <c r="L110" s="42"/>
    </row>
    <row r="111" spans="2:12" ht="15" customHeight="1">
      <c r="B111" s="42"/>
      <c r="C111" s="42"/>
      <c r="D111" s="42"/>
      <c r="E111" s="42"/>
      <c r="F111" s="42"/>
      <c r="G111" s="42"/>
      <c r="H111" s="42"/>
      <c r="I111" s="42"/>
      <c r="J111" s="42"/>
      <c r="K111" s="42"/>
      <c r="L111" s="42"/>
    </row>
  </sheetData>
  <mergeCells count="6">
    <mergeCell ref="B49:L51"/>
    <mergeCell ref="H7:L12"/>
    <mergeCell ref="B25:L25"/>
    <mergeCell ref="B28:L28"/>
    <mergeCell ref="B29:L29"/>
    <mergeCell ref="B26:L26"/>
  </mergeCells>
  <conditionalFormatting sqref="B73:K73">
    <cfRule type="cellIs" priority="1" dxfId="3" operator="equal" stopIfTrue="1">
      <formula>"Ledelsesberetning"</formula>
    </cfRule>
  </conditionalFormatting>
  <printOptions/>
  <pageMargins left="0.984251968503937" right="0.3937007874015748" top="0.393700787401574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15"/>
  <dimension ref="B2:B49"/>
  <sheetViews>
    <sheetView showGridLines="0" showRowColHeaders="0" workbookViewId="0" topLeftCell="A1">
      <selection activeCell="A1" sqref="A1"/>
    </sheetView>
  </sheetViews>
  <sheetFormatPr defaultColWidth="9.140625" defaultRowHeight="12.75" customHeight="1"/>
  <cols>
    <col min="1" max="1" width="7.7109375" style="41" customWidth="1"/>
    <col min="2" max="2" width="87.7109375" style="41" customWidth="1"/>
    <col min="3" max="3" width="1.7109375" style="41" customWidth="1"/>
    <col min="4" max="4" width="9.140625" style="41" customWidth="1"/>
    <col min="5" max="5" width="1.7109375" style="41" customWidth="1"/>
    <col min="6" max="16384" width="9.140625" style="41" customWidth="1"/>
  </cols>
  <sheetData>
    <row r="2" ht="12.75" customHeight="1">
      <c r="B2" s="50">
        <v>1</v>
      </c>
    </row>
    <row r="3" ht="12.75" customHeight="1">
      <c r="B3" s="50"/>
    </row>
    <row r="4" ht="12.75" customHeight="1">
      <c r="B4" s="50"/>
    </row>
    <row r="5" ht="39" customHeight="1">
      <c r="B5" s="163" t="str">
        <f>IF(aps=TRUE,UPPER(Programdata!J19),UPPER(Programdata!G19))</f>
        <v>INDEHAVERENS PÅTEGNING</v>
      </c>
    </row>
    <row r="6" ht="12.75" customHeight="1">
      <c r="B6" s="50"/>
    </row>
    <row r="7" ht="12.75" customHeight="1">
      <c r="B7" s="50"/>
    </row>
    <row r="8" ht="12.75" customHeight="1">
      <c r="B8" s="50"/>
    </row>
    <row r="9" ht="12.75" customHeight="1">
      <c r="B9" s="50"/>
    </row>
    <row r="10" ht="27.75" customHeight="1">
      <c r="B10" s="181" t="str">
        <f>"Undertegnede har dags dato aflagt årsrapport for "&amp;raa1&amp;" for "&amp;fnavn2&amp;". Årsrapporten omfatter ikke private indkomst- og formueforhold."</f>
        <v>Undertegnede har dags dato aflagt årsrapport for 2004 for Elstrøm. Årsrapporten omfatter ikke private indkomst- og formueforhold.</v>
      </c>
    </row>
    <row r="11" ht="15" customHeight="1">
      <c r="B11" s="130"/>
    </row>
    <row r="12" ht="40.5" customHeight="1">
      <c r="B12" s="202" t="s">
        <v>227</v>
      </c>
    </row>
    <row r="13" ht="15" customHeight="1">
      <c r="B13" s="130"/>
    </row>
    <row r="14" ht="40.5" customHeight="1">
      <c r="B14" s="180" t="s">
        <v>223</v>
      </c>
    </row>
    <row r="15" ht="15" customHeight="1">
      <c r="B15" s="133"/>
    </row>
    <row r="16" ht="15" customHeight="1">
      <c r="B16" s="130"/>
    </row>
    <row r="17" ht="15" customHeight="1">
      <c r="B17" s="203" t="str">
        <f>fby&amp;", den "&amp;udato</f>
        <v>Energirup, den 5. april 2005</v>
      </c>
    </row>
    <row r="18" ht="15" customHeight="1">
      <c r="B18" s="130"/>
    </row>
    <row r="19" ht="15" customHeight="1">
      <c r="B19" s="130"/>
    </row>
    <row r="20" ht="15" customHeight="1">
      <c r="B20" s="203" t="str">
        <f>indehaver</f>
        <v>Leif Elstrøm</v>
      </c>
    </row>
    <row r="21" ht="15" customHeight="1">
      <c r="B21" s="203" t="str">
        <f>ititel</f>
        <v>Autoriseret El-installatør</v>
      </c>
    </row>
    <row r="22" ht="15" customHeight="1" hidden="1">
      <c r="B22" s="130"/>
    </row>
    <row r="23" ht="15" customHeight="1" hidden="1">
      <c r="B23" s="179" t="str">
        <f>"Bestyrelse og direktion har dags dato aflagt årsrapport for "&amp;raa1&amp;" for "&amp;fnavn2&amp;"."</f>
        <v>Bestyrelse og direktion har dags dato aflagt årsrapport for 2004 for Elstrøm.</v>
      </c>
    </row>
    <row r="24" ht="15" customHeight="1" hidden="1">
      <c r="B24" s="130"/>
    </row>
    <row r="25" ht="15" customHeight="1" hidden="1">
      <c r="B25" s="180" t="s">
        <v>225</v>
      </c>
    </row>
    <row r="26" ht="15" customHeight="1" hidden="1">
      <c r="B26" s="130"/>
    </row>
    <row r="27" ht="27.75" customHeight="1" hidden="1">
      <c r="B27" s="179" t="s">
        <v>226</v>
      </c>
    </row>
    <row r="28" ht="15" customHeight="1" hidden="1">
      <c r="B28" s="132"/>
    </row>
    <row r="29" ht="15" customHeight="1" hidden="1">
      <c r="B29" s="130" t="s">
        <v>228</v>
      </c>
    </row>
    <row r="30" ht="15" customHeight="1" hidden="1">
      <c r="B30" s="130"/>
    </row>
    <row r="31" ht="15" customHeight="1" hidden="1">
      <c r="B31" s="130"/>
    </row>
    <row r="32" ht="15" customHeight="1" hidden="1">
      <c r="B32" s="130" t="str">
        <f>fby&amp;", den "&amp;udato</f>
        <v>Energirup, den 5. april 2005</v>
      </c>
    </row>
    <row r="33" ht="15" customHeight="1" hidden="1">
      <c r="B33" s="130"/>
    </row>
    <row r="34" ht="15" customHeight="1" hidden="1">
      <c r="B34" s="53" t="s">
        <v>65</v>
      </c>
    </row>
    <row r="35" ht="15" customHeight="1" hidden="1">
      <c r="B35" s="50"/>
    </row>
    <row r="36" ht="15" customHeight="1" hidden="1">
      <c r="B36" s="50"/>
    </row>
    <row r="37" ht="15" customHeight="1" hidden="1">
      <c r="B37" s="130" t="str">
        <f>dirk</f>
        <v>Leif Elstrøm</v>
      </c>
    </row>
    <row r="38" ht="15" customHeight="1" hidden="1">
      <c r="B38" s="130"/>
    </row>
    <row r="39" ht="15" customHeight="1" hidden="1">
      <c r="B39" s="130"/>
    </row>
    <row r="40" ht="15" customHeight="1" hidden="1">
      <c r="B40" s="130"/>
    </row>
    <row r="41" ht="15" customHeight="1" hidden="1">
      <c r="B41" s="53" t="s">
        <v>64</v>
      </c>
    </row>
    <row r="42" ht="15" customHeight="1" hidden="1">
      <c r="B42" s="130"/>
    </row>
    <row r="43" ht="15" customHeight="1" hidden="1">
      <c r="B43" s="130"/>
    </row>
    <row r="44" ht="15" customHeight="1" hidden="1">
      <c r="B44" s="50" t="str">
        <f>IF(formand="","",formand)</f>
        <v>Anders Andersen</v>
      </c>
    </row>
    <row r="45" ht="15" customHeight="1" hidden="1">
      <c r="B45" s="131" t="s">
        <v>224</v>
      </c>
    </row>
    <row r="46" ht="15" customHeight="1" hidden="1">
      <c r="B46" s="130"/>
    </row>
    <row r="47" ht="15" customHeight="1" hidden="1">
      <c r="B47" s="130"/>
    </row>
    <row r="48" ht="15" customHeight="1" hidden="1">
      <c r="B48" s="130" t="str">
        <f>IF(best3="","",best3)</f>
        <v>Daniel Danielsen</v>
      </c>
    </row>
    <row r="49" ht="15" customHeight="1" hidden="1">
      <c r="B49" s="130"/>
    </row>
    <row r="55" ht="12.75" customHeight="1" hidden="1"/>
  </sheetData>
  <printOptions/>
  <pageMargins left="0.984251968503937" right="0.3937007874015748" top="0.3937007874015748"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7"/>
  <dimension ref="A2:B30"/>
  <sheetViews>
    <sheetView showGridLines="0" showRowColHeaders="0" workbookViewId="0" topLeftCell="A1">
      <selection activeCell="A1" sqref="A1"/>
    </sheetView>
  </sheetViews>
  <sheetFormatPr defaultColWidth="9.140625" defaultRowHeight="12.75" customHeight="1"/>
  <cols>
    <col min="1" max="1" width="7.7109375" style="40" customWidth="1"/>
    <col min="2" max="2" width="87.7109375" style="40" customWidth="1"/>
    <col min="3" max="3" width="1.7109375" style="40" customWidth="1"/>
    <col min="4" max="4" width="10.7109375" style="40" customWidth="1"/>
    <col min="5" max="16384" width="9.140625" style="40" customWidth="1"/>
  </cols>
  <sheetData>
    <row r="2" spans="1:2" ht="12.75" customHeight="1">
      <c r="A2" s="41"/>
      <c r="B2" s="50">
        <f>sideåpåt+1</f>
        <v>2</v>
      </c>
    </row>
    <row r="3" spans="1:2" ht="12.75" customHeight="1">
      <c r="A3" s="128"/>
      <c r="B3" s="50"/>
    </row>
    <row r="4" ht="12.75" customHeight="1">
      <c r="B4" s="46"/>
    </row>
    <row r="5" s="41" customFormat="1" ht="39" customHeight="1">
      <c r="B5" s="163" t="s">
        <v>67</v>
      </c>
    </row>
    <row r="6" s="41" customFormat="1" ht="12.75" customHeight="1">
      <c r="B6" s="50"/>
    </row>
    <row r="7" s="41" customFormat="1" ht="12.75" customHeight="1">
      <c r="B7" s="50"/>
    </row>
    <row r="8" s="41" customFormat="1" ht="12.75" customHeight="1">
      <c r="B8" s="50"/>
    </row>
    <row r="9" ht="12.75" customHeight="1">
      <c r="B9" s="46"/>
    </row>
    <row r="10" ht="15" customHeight="1">
      <c r="B10" s="183" t="str">
        <f>"Til anpartshaverne i "&amp;fnavn2</f>
        <v>Til anpartshaverne i Elstrøm</v>
      </c>
    </row>
    <row r="11" ht="15" customHeight="1">
      <c r="B11" s="135"/>
    </row>
    <row r="12" ht="15" customHeight="1">
      <c r="B12" s="181" t="str">
        <f>"Vi har revideret årsrapporten for "&amp;fnavn2&amp;" for regnskabsåret "&amp;rperiode&amp;" "&amp;raa1&amp;"."</f>
        <v>Vi har revideret årsrapporten for Elstrøm for regnskabsåret 1. januar - 31. december 2004.</v>
      </c>
    </row>
    <row r="13" ht="15" customHeight="1">
      <c r="B13" s="135"/>
    </row>
    <row r="14" ht="27.75" customHeight="1">
      <c r="B14" s="181" t="s">
        <v>229</v>
      </c>
    </row>
    <row r="15" ht="15" customHeight="1">
      <c r="B15" s="135"/>
    </row>
    <row r="16" ht="15" customHeight="1">
      <c r="B16" s="183" t="s">
        <v>230</v>
      </c>
    </row>
    <row r="17" ht="93" customHeight="1">
      <c r="B17" s="180" t="s">
        <v>231</v>
      </c>
    </row>
    <row r="18" ht="15" customHeight="1">
      <c r="B18" s="46"/>
    </row>
    <row r="19" ht="15" customHeight="1">
      <c r="B19" s="184" t="s">
        <v>232</v>
      </c>
    </row>
    <row r="20" ht="40.5" customHeight="1">
      <c r="B20" s="180" t="str">
        <f>"Det er vor opfattelse, at årsrapporten giver et retvisende billede af selskabets aktiver, passiver og den finansielle stilling pr. "&amp;ultimodatot&amp;" "&amp;" samt af resultatet af selskabets aktiviteter for regnskabsåret "&amp;rperiode&amp;" "&amp;raa1&amp;" i overensstemmelse med årsregnskabsloven."</f>
        <v>Det er vor opfattelse, at årsrapporten giver et retvisende billede af selskabets aktiver, passiver og den finansielle stilling pr. 31. december 2004  samt af resultatet af selskabets aktiviteter for regnskabsåret 1. januar - 31. december 2004 i overensstemmelse med årsregnskabsloven.</v>
      </c>
    </row>
    <row r="21" ht="15" customHeight="1">
      <c r="B21" s="46"/>
    </row>
    <row r="22" ht="15" customHeight="1">
      <c r="B22" s="46"/>
    </row>
    <row r="23" ht="15" customHeight="1">
      <c r="B23" s="181" t="str">
        <f>ruby&amp;", den "&amp;udato</f>
        <v>Tåstrup, den 5. april 2005</v>
      </c>
    </row>
    <row r="24" ht="15" customHeight="1">
      <c r="B24" s="201"/>
    </row>
    <row r="25" ht="15" customHeight="1">
      <c r="B25" s="181" t="str">
        <f>frevi</f>
        <v>pVKa</v>
      </c>
    </row>
    <row r="26" ht="15" customHeight="1">
      <c r="B26" s="201"/>
    </row>
    <row r="27" ht="15" customHeight="1">
      <c r="B27" s="201"/>
    </row>
    <row r="28" ht="15" customHeight="1">
      <c r="B28" s="181" t="str">
        <f>revinavn</f>
        <v>Jens Jensen</v>
      </c>
    </row>
    <row r="29" ht="15" customHeight="1">
      <c r="B29" s="182" t="str">
        <f>revititel</f>
        <v>statsautoriseret revisor</v>
      </c>
    </row>
    <row r="30" ht="15" customHeight="1">
      <c r="B30" s="46"/>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printOptions/>
  <pageMargins left="0.984251968503937" right="0.3937007874015748" top="0.3937007874015748"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Ark5"/>
  <dimension ref="B2:P38"/>
  <sheetViews>
    <sheetView showGridLines="0" showRowColHeaders="0" workbookViewId="0" topLeftCell="A1">
      <selection activeCell="A1" sqref="A1"/>
    </sheetView>
  </sheetViews>
  <sheetFormatPr defaultColWidth="9.140625" defaultRowHeight="12.75" customHeight="1"/>
  <cols>
    <col min="1" max="1" width="7.7109375" style="38" customWidth="1"/>
    <col min="2" max="2" width="2.7109375" style="38" customWidth="1"/>
    <col min="3" max="3" width="10.7109375" style="38" customWidth="1"/>
    <col min="4" max="4" width="1.7109375" style="38" customWidth="1"/>
    <col min="5" max="5" width="10.7109375" style="38" customWidth="1"/>
    <col min="6" max="6" width="1.7109375" style="38" customWidth="1"/>
    <col min="7" max="7" width="10.7109375" style="38" customWidth="1"/>
    <col min="8" max="8" width="1.7109375" style="38" customWidth="1"/>
    <col min="9" max="9" width="10.7109375" style="38" customWidth="1"/>
    <col min="10" max="10" width="1.7109375" style="38" customWidth="1"/>
    <col min="11" max="11" width="10.7109375" style="38" customWidth="1"/>
    <col min="12" max="12" width="1.7109375" style="38" customWidth="1"/>
    <col min="13" max="13" width="10.7109375" style="38" customWidth="1"/>
    <col min="14" max="14" width="1.7109375" style="38" customWidth="1"/>
    <col min="15" max="15" width="10.7109375" style="38" customWidth="1"/>
    <col min="16" max="16" width="1.7109375" style="38" customWidth="1"/>
    <col min="17" max="16384" width="9.140625" style="38" customWidth="1"/>
  </cols>
  <sheetData>
    <row r="2" spans="2:16" ht="12.75" customHeight="1">
      <c r="B2" s="427">
        <f>IF(aps=TRUE,sideårpåt+1,sideåpåt+1)</f>
        <v>2</v>
      </c>
      <c r="C2" s="427"/>
      <c r="D2" s="427"/>
      <c r="E2" s="427"/>
      <c r="F2" s="427"/>
      <c r="G2" s="427"/>
      <c r="H2" s="427"/>
      <c r="I2" s="427"/>
      <c r="J2" s="427"/>
      <c r="K2" s="427"/>
      <c r="L2" s="427"/>
      <c r="M2" s="427"/>
      <c r="N2" s="427"/>
      <c r="O2" s="427"/>
      <c r="P2" s="204"/>
    </row>
    <row r="3" spans="2:15" ht="12.75" customHeight="1">
      <c r="B3" s="62"/>
      <c r="C3" s="62"/>
      <c r="D3" s="62"/>
      <c r="E3" s="62"/>
      <c r="F3" s="62"/>
      <c r="G3" s="62"/>
      <c r="H3" s="62"/>
      <c r="I3" s="62"/>
      <c r="J3" s="62"/>
      <c r="K3" s="62"/>
      <c r="L3" s="62"/>
      <c r="M3" s="42"/>
      <c r="N3" s="42"/>
      <c r="O3" s="42"/>
    </row>
    <row r="4" spans="2:15" ht="12.75" customHeight="1">
      <c r="B4" s="42"/>
      <c r="C4" s="42"/>
      <c r="D4" s="42"/>
      <c r="E4" s="42"/>
      <c r="F4" s="42"/>
      <c r="G4" s="42"/>
      <c r="H4" s="42"/>
      <c r="I4" s="42"/>
      <c r="J4" s="42"/>
      <c r="K4" s="42"/>
      <c r="L4" s="42"/>
      <c r="M4" s="42"/>
      <c r="N4" s="42"/>
      <c r="O4" s="42"/>
    </row>
    <row r="5" spans="2:15" ht="39" customHeight="1">
      <c r="B5" s="428" t="str">
        <f>IF(aps=TRUE,"SELSKABSOPLYSNINGER",IF(aps=FALSE,"VIRKSOMHEDSOPLYSNINGER",fejl))</f>
        <v>VIRKSOMHEDSOPLYSNINGER</v>
      </c>
      <c r="C5" s="428"/>
      <c r="D5" s="428"/>
      <c r="E5" s="428"/>
      <c r="F5" s="428"/>
      <c r="G5" s="428"/>
      <c r="H5" s="428"/>
      <c r="I5" s="428"/>
      <c r="J5" s="428"/>
      <c r="K5" s="428"/>
      <c r="L5" s="428"/>
      <c r="M5" s="428"/>
      <c r="N5" s="428"/>
      <c r="O5" s="428"/>
    </row>
    <row r="6" spans="2:15" ht="12.75" customHeight="1">
      <c r="B6" s="42"/>
      <c r="C6" s="42"/>
      <c r="D6" s="42"/>
      <c r="E6" s="42"/>
      <c r="F6" s="42"/>
      <c r="G6" s="42"/>
      <c r="H6" s="42"/>
      <c r="I6" s="42"/>
      <c r="J6" s="42"/>
      <c r="K6" s="42"/>
      <c r="L6" s="42"/>
      <c r="M6" s="42"/>
      <c r="N6" s="42"/>
      <c r="O6" s="42"/>
    </row>
    <row r="7" spans="2:15" ht="12.75" customHeight="1">
      <c r="B7" s="42"/>
      <c r="C7" s="42"/>
      <c r="D7" s="42"/>
      <c r="E7" s="42"/>
      <c r="F7" s="42"/>
      <c r="G7" s="42"/>
      <c r="H7" s="42"/>
      <c r="I7" s="42"/>
      <c r="J7" s="42"/>
      <c r="K7" s="42"/>
      <c r="L7" s="42"/>
      <c r="M7" s="42"/>
      <c r="N7" s="42"/>
      <c r="O7" s="42"/>
    </row>
    <row r="8" spans="2:15" ht="12.75" customHeight="1">
      <c r="B8" s="42"/>
      <c r="C8" s="42"/>
      <c r="D8" s="42"/>
      <c r="E8" s="42"/>
      <c r="F8" s="42"/>
      <c r="G8" s="42"/>
      <c r="H8" s="42"/>
      <c r="I8" s="42"/>
      <c r="J8" s="42"/>
      <c r="K8" s="42"/>
      <c r="L8" s="42"/>
      <c r="M8" s="42"/>
      <c r="N8" s="42"/>
      <c r="O8" s="42"/>
    </row>
    <row r="9" spans="2:15" ht="12.75" customHeight="1">
      <c r="B9" s="42"/>
      <c r="C9" s="42"/>
      <c r="D9" s="42"/>
      <c r="E9" s="42"/>
      <c r="F9" s="42"/>
      <c r="G9" s="42"/>
      <c r="H9" s="42"/>
      <c r="I9" s="42"/>
      <c r="J9" s="42"/>
      <c r="K9" s="42"/>
      <c r="L9" s="42"/>
      <c r="M9" s="42"/>
      <c r="N9" s="42"/>
      <c r="O9" s="42"/>
    </row>
    <row r="10" spans="2:15" ht="15" customHeight="1">
      <c r="B10" s="429" t="str">
        <f>IF(aps=TRUE,"Selskabet",IF(aps=FALSE,"Virksomheden",fejl))</f>
        <v>Virksomheden</v>
      </c>
      <c r="C10" s="429"/>
      <c r="D10" s="429"/>
      <c r="E10" s="429"/>
      <c r="F10" s="432" t="str">
        <f>fnavn2</f>
        <v>Elstrøm</v>
      </c>
      <c r="G10" s="432"/>
      <c r="H10" s="432"/>
      <c r="I10" s="432"/>
      <c r="J10" s="432"/>
      <c r="K10" s="432"/>
      <c r="L10" s="432"/>
      <c r="M10" s="432"/>
      <c r="N10" s="42"/>
      <c r="O10" s="42"/>
    </row>
    <row r="11" spans="2:15" ht="15" customHeight="1">
      <c r="B11" s="430"/>
      <c r="C11" s="430"/>
      <c r="D11" s="430"/>
      <c r="E11" s="430"/>
      <c r="F11" s="432" t="str">
        <f>fadr</f>
        <v>Lystoftevænge 230</v>
      </c>
      <c r="G11" s="432"/>
      <c r="H11" s="432"/>
      <c r="I11" s="432"/>
      <c r="J11" s="432"/>
      <c r="K11" s="432"/>
      <c r="L11" s="432"/>
      <c r="M11" s="432"/>
      <c r="N11" s="42"/>
      <c r="O11" s="42"/>
    </row>
    <row r="12" spans="2:15" ht="15" customHeight="1">
      <c r="B12" s="430"/>
      <c r="C12" s="430"/>
      <c r="D12" s="430"/>
      <c r="E12" s="430"/>
      <c r="F12" s="432" t="str">
        <f>fpost&amp;"  "&amp;fby</f>
        <v>1234  Energirup</v>
      </c>
      <c r="G12" s="432"/>
      <c r="H12" s="432"/>
      <c r="I12" s="432"/>
      <c r="J12" s="432"/>
      <c r="K12" s="432"/>
      <c r="L12" s="432"/>
      <c r="M12" s="432"/>
      <c r="N12" s="42"/>
      <c r="O12" s="42"/>
    </row>
    <row r="13" spans="2:15" ht="15" customHeight="1">
      <c r="B13" s="430"/>
      <c r="C13" s="430"/>
      <c r="D13" s="430"/>
      <c r="E13" s="430"/>
      <c r="F13" s="54"/>
      <c r="G13" s="54"/>
      <c r="H13" s="54"/>
      <c r="I13" s="54"/>
      <c r="J13" s="54"/>
      <c r="K13" s="42"/>
      <c r="L13" s="42"/>
      <c r="M13" s="42"/>
      <c r="N13" s="42"/>
      <c r="O13" s="42"/>
    </row>
    <row r="14" spans="2:15" ht="15" customHeight="1">
      <c r="B14" s="430"/>
      <c r="C14" s="430"/>
      <c r="D14" s="430"/>
      <c r="E14" s="430"/>
      <c r="F14" s="432" t="s">
        <v>95</v>
      </c>
      <c r="G14" s="432"/>
      <c r="H14" s="433" t="str">
        <f>ftlf</f>
        <v>99 230 480</v>
      </c>
      <c r="I14" s="433"/>
      <c r="J14" s="433"/>
      <c r="K14" s="433"/>
      <c r="L14" s="433"/>
      <c r="M14" s="433"/>
      <c r="N14" s="42"/>
      <c r="O14" s="42"/>
    </row>
    <row r="15" spans="2:15" ht="15" customHeight="1">
      <c r="B15" s="430"/>
      <c r="C15" s="430"/>
      <c r="D15" s="430"/>
      <c r="E15" s="430"/>
      <c r="F15" s="432" t="s">
        <v>96</v>
      </c>
      <c r="G15" s="432"/>
      <c r="H15" s="433" t="str">
        <f>ffax</f>
        <v>99 480 230</v>
      </c>
      <c r="I15" s="433"/>
      <c r="J15" s="433"/>
      <c r="K15" s="433"/>
      <c r="L15" s="433"/>
      <c r="M15" s="433"/>
      <c r="N15" s="42"/>
      <c r="O15" s="42"/>
    </row>
    <row r="16" spans="2:15" ht="15" customHeight="1">
      <c r="B16" s="430"/>
      <c r="C16" s="430"/>
      <c r="D16" s="430"/>
      <c r="E16" s="430"/>
      <c r="F16" s="432" t="s">
        <v>97</v>
      </c>
      <c r="G16" s="432"/>
      <c r="H16" s="432" t="str">
        <f>fwww</f>
        <v>www.elstroem.dk</v>
      </c>
      <c r="I16" s="432"/>
      <c r="J16" s="432"/>
      <c r="K16" s="432"/>
      <c r="L16" s="432"/>
      <c r="M16" s="432"/>
      <c r="N16" s="42"/>
      <c r="O16" s="42"/>
    </row>
    <row r="17" spans="2:15" ht="15" customHeight="1">
      <c r="B17" s="430"/>
      <c r="C17" s="430"/>
      <c r="D17" s="430"/>
      <c r="E17" s="430"/>
      <c r="F17" s="432" t="s">
        <v>98</v>
      </c>
      <c r="G17" s="432"/>
      <c r="H17" s="432" t="str">
        <f>fmail</f>
        <v>mail@elstroem.dk</v>
      </c>
      <c r="I17" s="432"/>
      <c r="J17" s="432"/>
      <c r="K17" s="432"/>
      <c r="L17" s="432"/>
      <c r="M17" s="432"/>
      <c r="N17" s="42"/>
      <c r="O17" s="42"/>
    </row>
    <row r="18" spans="2:15" ht="15" customHeight="1">
      <c r="B18" s="430"/>
      <c r="C18" s="430"/>
      <c r="D18" s="430"/>
      <c r="E18" s="430"/>
      <c r="F18" s="432"/>
      <c r="G18" s="432"/>
      <c r="H18" s="432"/>
      <c r="I18" s="432"/>
      <c r="J18" s="432"/>
      <c r="K18" s="432"/>
      <c r="L18" s="432"/>
      <c r="M18" s="432"/>
      <c r="N18" s="42"/>
      <c r="O18" s="42"/>
    </row>
    <row r="19" spans="2:15" ht="15" customHeight="1">
      <c r="B19" s="430"/>
      <c r="C19" s="430"/>
      <c r="D19" s="430"/>
      <c r="E19" s="430"/>
      <c r="F19" s="432" t="s">
        <v>99</v>
      </c>
      <c r="G19" s="432"/>
      <c r="H19" s="432" t="str">
        <f>TEXT(cvr,"0# ## ## ##")</f>
        <v>18 19 20 21</v>
      </c>
      <c r="I19" s="432"/>
      <c r="J19" s="432"/>
      <c r="K19" s="432"/>
      <c r="L19" s="432"/>
      <c r="M19" s="432"/>
      <c r="N19" s="42"/>
      <c r="O19" s="42"/>
    </row>
    <row r="20" spans="2:15" ht="15" customHeight="1">
      <c r="B20" s="430"/>
      <c r="C20" s="430"/>
      <c r="D20" s="430"/>
      <c r="E20" s="430"/>
      <c r="F20" s="432" t="str">
        <f>IF(aps=TRUE,"Stiftet:",IF(aps=FALSE,("Etableret:"),fejl))</f>
        <v>Etableret:</v>
      </c>
      <c r="G20" s="432"/>
      <c r="H20" s="432" t="str">
        <f>start</f>
        <v>1. januar 2004</v>
      </c>
      <c r="I20" s="432"/>
      <c r="J20" s="432"/>
      <c r="K20" s="432"/>
      <c r="L20" s="432"/>
      <c r="M20" s="432"/>
      <c r="N20" s="42"/>
      <c r="O20" s="42"/>
    </row>
    <row r="21" spans="2:15" ht="15" customHeight="1">
      <c r="B21" s="430"/>
      <c r="C21" s="430"/>
      <c r="D21" s="430"/>
      <c r="E21" s="430"/>
      <c r="F21" s="432" t="s">
        <v>101</v>
      </c>
      <c r="G21" s="432"/>
      <c r="H21" s="432" t="str">
        <f>kom</f>
        <v>Nørre-Alslev</v>
      </c>
      <c r="I21" s="432"/>
      <c r="J21" s="432"/>
      <c r="K21" s="432"/>
      <c r="L21" s="432"/>
      <c r="M21" s="432"/>
      <c r="N21" s="42"/>
      <c r="O21" s="42"/>
    </row>
    <row r="22" spans="2:15" ht="15" customHeight="1">
      <c r="B22" s="430"/>
      <c r="C22" s="430"/>
      <c r="D22" s="430"/>
      <c r="E22" s="430"/>
      <c r="F22" s="432" t="s">
        <v>102</v>
      </c>
      <c r="G22" s="432"/>
      <c r="H22" s="432" t="str">
        <f>primo1&amp;" - "&amp;ultimo1</f>
        <v>1. januar - 31. december</v>
      </c>
      <c r="I22" s="432"/>
      <c r="J22" s="432"/>
      <c r="K22" s="432"/>
      <c r="L22" s="432"/>
      <c r="M22" s="432"/>
      <c r="N22" s="42"/>
      <c r="O22" s="42"/>
    </row>
    <row r="23" spans="2:15" ht="15" customHeight="1">
      <c r="B23" s="430"/>
      <c r="C23" s="430"/>
      <c r="D23" s="430"/>
      <c r="E23" s="430"/>
      <c r="F23" s="54"/>
      <c r="G23" s="54"/>
      <c r="H23" s="54"/>
      <c r="I23" s="54"/>
      <c r="J23" s="54"/>
      <c r="K23" s="42"/>
      <c r="L23" s="42"/>
      <c r="M23" s="42"/>
      <c r="N23" s="42"/>
      <c r="O23" s="42"/>
    </row>
    <row r="24" spans="2:15" ht="15" customHeight="1">
      <c r="B24" s="430"/>
      <c r="C24" s="430"/>
      <c r="D24" s="430"/>
      <c r="E24" s="430"/>
      <c r="F24" s="54"/>
      <c r="G24" s="54"/>
      <c r="H24" s="54"/>
      <c r="I24" s="54"/>
      <c r="J24" s="54"/>
      <c r="K24" s="42"/>
      <c r="L24" s="42"/>
      <c r="M24" s="42"/>
      <c r="N24" s="42"/>
      <c r="O24" s="42"/>
    </row>
    <row r="25" spans="2:15" ht="15" customHeight="1" hidden="1">
      <c r="B25" s="429">
        <f>IF(aps=TRUE,"Bestyrelse","")</f>
      </c>
      <c r="C25" s="429"/>
      <c r="D25" s="429"/>
      <c r="E25" s="429"/>
      <c r="F25" s="432">
        <f>IF(aps=TRUE,formand,"")</f>
      </c>
      <c r="G25" s="432"/>
      <c r="H25" s="432"/>
      <c r="I25" s="432"/>
      <c r="J25" s="432"/>
      <c r="K25" s="432"/>
      <c r="L25" s="432"/>
      <c r="M25" s="432"/>
      <c r="N25" s="42"/>
      <c r="O25" s="42"/>
    </row>
    <row r="26" spans="2:15" ht="15" customHeight="1" hidden="1">
      <c r="B26" s="430"/>
      <c r="C26" s="430"/>
      <c r="D26" s="430"/>
      <c r="E26" s="430"/>
      <c r="F26" s="432">
        <f>IF(aps=TRUE,best1,"")</f>
      </c>
      <c r="G26" s="432"/>
      <c r="H26" s="432"/>
      <c r="I26" s="432"/>
      <c r="J26" s="432"/>
      <c r="K26" s="432"/>
      <c r="L26" s="432"/>
      <c r="M26" s="432"/>
      <c r="N26" s="42"/>
      <c r="O26" s="42"/>
    </row>
    <row r="27" spans="2:15" ht="15" customHeight="1" hidden="1">
      <c r="B27" s="430"/>
      <c r="C27" s="430"/>
      <c r="D27" s="430"/>
      <c r="E27" s="430"/>
      <c r="F27" s="54">
        <f>IF(aps=TRUE,best2,"")</f>
      </c>
      <c r="G27" s="54"/>
      <c r="H27" s="54"/>
      <c r="I27" s="54"/>
      <c r="J27" s="54"/>
      <c r="K27" s="54"/>
      <c r="L27" s="54"/>
      <c r="M27" s="54"/>
      <c r="N27" s="42"/>
      <c r="O27" s="42"/>
    </row>
    <row r="28" spans="2:15" ht="15" customHeight="1" hidden="1">
      <c r="B28" s="430"/>
      <c r="C28" s="430"/>
      <c r="D28" s="430"/>
      <c r="E28" s="430"/>
      <c r="F28" s="54">
        <f>IF(aps=TRUE,best3,"")</f>
      </c>
      <c r="G28" s="54"/>
      <c r="H28" s="54"/>
      <c r="I28" s="54"/>
      <c r="J28" s="54"/>
      <c r="K28" s="54"/>
      <c r="L28" s="54"/>
      <c r="M28" s="54"/>
      <c r="N28" s="42"/>
      <c r="O28" s="42"/>
    </row>
    <row r="29" spans="2:15" ht="15" customHeight="1" hidden="1">
      <c r="B29" s="430"/>
      <c r="C29" s="430"/>
      <c r="D29" s="430"/>
      <c r="E29" s="430"/>
      <c r="F29" s="54">
        <f>IF(aps=TRUE,best4,"")</f>
      </c>
      <c r="G29" s="54"/>
      <c r="H29" s="54"/>
      <c r="I29" s="54"/>
      <c r="J29" s="54"/>
      <c r="K29" s="54"/>
      <c r="L29" s="54"/>
      <c r="M29" s="54"/>
      <c r="N29" s="42"/>
      <c r="O29" s="42"/>
    </row>
    <row r="30" spans="2:15" ht="15" customHeight="1" hidden="1">
      <c r="B30" s="42"/>
      <c r="C30" s="42"/>
      <c r="D30" s="42"/>
      <c r="E30" s="42"/>
      <c r="F30" s="54">
        <f>IF(aps=TRUE,best5,"")</f>
      </c>
      <c r="G30" s="54"/>
      <c r="H30" s="54"/>
      <c r="I30" s="54"/>
      <c r="J30" s="54"/>
      <c r="K30" s="54"/>
      <c r="L30" s="54"/>
      <c r="M30" s="54"/>
      <c r="N30" s="42"/>
      <c r="O30" s="42"/>
    </row>
    <row r="31" spans="2:15" ht="15" customHeight="1" hidden="1">
      <c r="B31" s="430"/>
      <c r="C31" s="430"/>
      <c r="D31" s="430"/>
      <c r="E31" s="430"/>
      <c r="F31" s="432"/>
      <c r="G31" s="432"/>
      <c r="H31" s="432"/>
      <c r="I31" s="432"/>
      <c r="J31" s="432"/>
      <c r="K31" s="432"/>
      <c r="L31" s="432"/>
      <c r="M31" s="432"/>
      <c r="N31" s="42"/>
      <c r="O31" s="42"/>
    </row>
    <row r="32" spans="2:15" ht="15" customHeight="1" hidden="1">
      <c r="B32" s="430"/>
      <c r="C32" s="430"/>
      <c r="D32" s="430"/>
      <c r="E32" s="430"/>
      <c r="F32" s="432"/>
      <c r="G32" s="432"/>
      <c r="H32" s="432"/>
      <c r="I32" s="432"/>
      <c r="J32" s="432"/>
      <c r="K32" s="432"/>
      <c r="L32" s="432"/>
      <c r="M32" s="432"/>
      <c r="N32" s="42"/>
      <c r="O32" s="42"/>
    </row>
    <row r="33" spans="2:15" ht="15" customHeight="1">
      <c r="B33" s="429" t="str">
        <f>IF(aps=TRUE,"Direktion",IF(aps=FALSE,"Daglig ledelse",fejl))</f>
        <v>Daglig ledelse</v>
      </c>
      <c r="C33" s="429"/>
      <c r="D33" s="429"/>
      <c r="E33" s="429"/>
      <c r="F33" s="432" t="str">
        <f>IF(aps=TRUE,dirk,IF(aps=FALSE,indehaver,fejl))</f>
        <v>Leif Elstrøm</v>
      </c>
      <c r="G33" s="432"/>
      <c r="H33" s="432"/>
      <c r="I33" s="432"/>
      <c r="J33" s="432"/>
      <c r="K33" s="432"/>
      <c r="L33" s="432"/>
      <c r="M33" s="432"/>
      <c r="N33" s="42"/>
      <c r="O33" s="42"/>
    </row>
    <row r="34" spans="2:15" ht="15" customHeight="1">
      <c r="B34" s="430"/>
      <c r="C34" s="430"/>
      <c r="D34" s="430"/>
      <c r="E34" s="430"/>
      <c r="F34" s="54"/>
      <c r="G34" s="54"/>
      <c r="H34" s="54"/>
      <c r="I34" s="54"/>
      <c r="J34" s="54"/>
      <c r="K34" s="42"/>
      <c r="L34" s="42"/>
      <c r="M34" s="42"/>
      <c r="N34" s="42"/>
      <c r="O34" s="42"/>
    </row>
    <row r="35" spans="2:15" ht="15" customHeight="1">
      <c r="B35" s="430"/>
      <c r="C35" s="430"/>
      <c r="D35" s="430"/>
      <c r="E35" s="430"/>
      <c r="F35" s="54"/>
      <c r="G35" s="54"/>
      <c r="H35" s="54"/>
      <c r="I35" s="54"/>
      <c r="J35" s="54"/>
      <c r="K35" s="42"/>
      <c r="L35" s="42"/>
      <c r="M35" s="42"/>
      <c r="N35" s="42"/>
      <c r="O35" s="42"/>
    </row>
    <row r="36" spans="2:15" ht="15" customHeight="1">
      <c r="B36" s="431">
        <f>IF(aps=TRUE,"Generalforsamling",IF(aps=FALSE,"",fejl))</f>
      </c>
      <c r="C36" s="431"/>
      <c r="D36" s="431"/>
      <c r="E36" s="431"/>
      <c r="F36" s="426">
        <f>IF(aps=TRUE,CONCATENATE("Ordinær generalforsamling afholdes den ",gdato," på selskabets adresse."),IF(aps=FALSE,"",fejl))</f>
      </c>
      <c r="G36" s="426"/>
      <c r="H36" s="426"/>
      <c r="I36" s="426"/>
      <c r="J36" s="426"/>
      <c r="K36" s="42"/>
      <c r="L36" s="42"/>
      <c r="M36" s="42"/>
      <c r="N36" s="42"/>
      <c r="O36" s="42"/>
    </row>
    <row r="37" spans="2:15" ht="15" customHeight="1">
      <c r="B37" s="430"/>
      <c r="C37" s="430"/>
      <c r="D37" s="430"/>
      <c r="E37" s="430"/>
      <c r="F37" s="426"/>
      <c r="G37" s="426"/>
      <c r="H37" s="426"/>
      <c r="I37" s="426"/>
      <c r="J37" s="426"/>
      <c r="K37" s="42"/>
      <c r="L37" s="42"/>
      <c r="M37" s="42"/>
      <c r="N37" s="42"/>
      <c r="O37" s="42"/>
    </row>
    <row r="38" spans="2:15" ht="15" customHeight="1">
      <c r="B38" s="430"/>
      <c r="C38" s="430"/>
      <c r="D38" s="430"/>
      <c r="E38" s="430"/>
      <c r="F38" s="426"/>
      <c r="G38" s="426"/>
      <c r="H38" s="426"/>
      <c r="I38" s="426"/>
      <c r="J38" s="426"/>
      <c r="K38" s="42"/>
      <c r="L38" s="42"/>
      <c r="M38" s="42"/>
      <c r="N38" s="42"/>
      <c r="O38" s="42"/>
    </row>
  </sheetData>
  <mergeCells count="57">
    <mergeCell ref="H21:M21"/>
    <mergeCell ref="H22:M22"/>
    <mergeCell ref="F33:M33"/>
    <mergeCell ref="F26:M26"/>
    <mergeCell ref="F31:M31"/>
    <mergeCell ref="F32:M32"/>
    <mergeCell ref="F25:M25"/>
    <mergeCell ref="F20:G20"/>
    <mergeCell ref="F21:G21"/>
    <mergeCell ref="F22:G22"/>
    <mergeCell ref="H14:M14"/>
    <mergeCell ref="H15:M15"/>
    <mergeCell ref="H16:M16"/>
    <mergeCell ref="H17:M17"/>
    <mergeCell ref="H18:M18"/>
    <mergeCell ref="H19:M19"/>
    <mergeCell ref="H20:M20"/>
    <mergeCell ref="B38:E38"/>
    <mergeCell ref="F10:M10"/>
    <mergeCell ref="F11:M11"/>
    <mergeCell ref="F12:M12"/>
    <mergeCell ref="F14:G14"/>
    <mergeCell ref="F15:G15"/>
    <mergeCell ref="F16:G16"/>
    <mergeCell ref="F17:G17"/>
    <mergeCell ref="F18:G18"/>
    <mergeCell ref="F19:G19"/>
    <mergeCell ref="B34:E34"/>
    <mergeCell ref="B35:E35"/>
    <mergeCell ref="B36:E36"/>
    <mergeCell ref="B37:E37"/>
    <mergeCell ref="B29:E29"/>
    <mergeCell ref="B31:E31"/>
    <mergeCell ref="B32:E32"/>
    <mergeCell ref="B33:E33"/>
    <mergeCell ref="B25:E25"/>
    <mergeCell ref="B26:E26"/>
    <mergeCell ref="B27:E27"/>
    <mergeCell ref="B28:E28"/>
    <mergeCell ref="B21:E21"/>
    <mergeCell ref="B22:E22"/>
    <mergeCell ref="B23:E23"/>
    <mergeCell ref="B24:E24"/>
    <mergeCell ref="B17:E17"/>
    <mergeCell ref="B18:E18"/>
    <mergeCell ref="B19:E19"/>
    <mergeCell ref="B20:E20"/>
    <mergeCell ref="F36:J38"/>
    <mergeCell ref="B2:O2"/>
    <mergeCell ref="B5:O5"/>
    <mergeCell ref="B10:E10"/>
    <mergeCell ref="B11:E11"/>
    <mergeCell ref="B12:E12"/>
    <mergeCell ref="B13:E13"/>
    <mergeCell ref="B14:E14"/>
    <mergeCell ref="B15:E15"/>
    <mergeCell ref="B16:E16"/>
  </mergeCells>
  <printOptions/>
  <pageMargins left="0.984251968503937"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Revisionsinstituttet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 Vester Christiansen</dc:creator>
  <cp:keywords/>
  <dc:description/>
  <cp:lastModifiedBy>Tem Vester Christiansen</cp:lastModifiedBy>
  <cp:lastPrinted>2004-07-20T10:42:55Z</cp:lastPrinted>
  <dcterms:created xsi:type="dcterms:W3CDTF">2004-06-03T12:08:11Z</dcterms:created>
  <dcterms:modified xsi:type="dcterms:W3CDTF">2004-07-20T10:54:22Z</dcterms:modified>
  <cp:category/>
  <cp:version/>
  <cp:contentType/>
  <cp:contentStatus/>
</cp:coreProperties>
</file>